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Segreteria Generale\SEGRETARIO GENERALE\UNSCP\stipendio 2026\"/>
    </mc:Choice>
  </mc:AlternateContent>
  <xr:revisionPtr revIDLastSave="0" documentId="13_ncr:1_{B8D4FE3E-8F40-4064-8012-BFA6E741EF3C}" xr6:coauthVersionLast="47" xr6:coauthVersionMax="47" xr10:uidLastSave="{00000000-0000-0000-0000-000000000000}"/>
  <bookViews>
    <workbookView xWindow="-120" yWindow="-120" windowWidth="29040" windowHeight="15720" xr2:uid="{00000000-000D-0000-FFFF-FFFF00000000}"/>
  </bookViews>
  <sheets>
    <sheet name="Arretrati contrattuali" sheetId="3" r:id="rId1"/>
    <sheet name="Stipendio" sheetId="4" r:id="rId2"/>
    <sheet name="Indennità reggenza_supplenza" sheetId="9" r:id="rId3"/>
    <sheet name="legenda" sheetId="7"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3" l="1"/>
  <c r="G5" i="3"/>
  <c r="G6" i="3"/>
  <c r="G7" i="3"/>
  <c r="G8" i="3"/>
  <c r="G9" i="3"/>
  <c r="G10" i="3"/>
  <c r="G11" i="3"/>
  <c r="H8" i="3" s="1"/>
  <c r="G12" i="3"/>
  <c r="G13" i="3"/>
  <c r="G14" i="3"/>
  <c r="G15" i="3"/>
  <c r="G16" i="3"/>
  <c r="G17" i="3"/>
  <c r="G18" i="3"/>
  <c r="G19" i="3"/>
  <c r="G20" i="3"/>
  <c r="G21" i="3"/>
  <c r="G22" i="3"/>
  <c r="G23" i="3"/>
  <c r="G24" i="3"/>
  <c r="G25" i="3"/>
  <c r="G26" i="3"/>
  <c r="G27" i="3"/>
  <c r="F27" i="3"/>
  <c r="F23" i="3"/>
  <c r="F19" i="3"/>
  <c r="F15" i="3"/>
  <c r="F11" i="3"/>
  <c r="F7" i="3"/>
  <c r="F9" i="3"/>
  <c r="E25" i="3"/>
  <c r="D17" i="3"/>
  <c r="E17" i="3"/>
  <c r="E9" i="3"/>
  <c r="F25" i="3"/>
  <c r="D25" i="3"/>
  <c r="F24" i="3"/>
  <c r="F21" i="3"/>
  <c r="F20" i="3"/>
  <c r="F17" i="3"/>
  <c r="F16" i="3"/>
  <c r="F13" i="3"/>
  <c r="F12" i="3"/>
  <c r="F5" i="3"/>
  <c r="F8" i="3"/>
  <c r="F4" i="3"/>
  <c r="E13" i="3"/>
  <c r="E24" i="3"/>
  <c r="D24" i="3"/>
  <c r="E21" i="3"/>
  <c r="D21" i="3"/>
  <c r="E20" i="3"/>
  <c r="D20" i="3"/>
  <c r="E16" i="3"/>
  <c r="E18" i="3" s="1"/>
  <c r="D16" i="3"/>
  <c r="D13" i="3"/>
  <c r="E12" i="3"/>
  <c r="D12" i="3"/>
  <c r="D9" i="3"/>
  <c r="E8" i="3"/>
  <c r="D8" i="3"/>
  <c r="E5" i="3"/>
  <c r="D5" i="3"/>
  <c r="E4" i="3"/>
  <c r="D4" i="3"/>
  <c r="D8" i="4"/>
  <c r="C8" i="4"/>
  <c r="B9" i="4" s="1"/>
  <c r="C11" i="4"/>
  <c r="C12" i="4" s="1"/>
  <c r="C13" i="4" s="1"/>
  <c r="E13" i="4" s="1"/>
  <c r="F10" i="3" l="1"/>
  <c r="E10" i="3"/>
  <c r="F22" i="3"/>
  <c r="F14" i="3"/>
  <c r="E26" i="3"/>
  <c r="D14" i="3"/>
  <c r="H12" i="3" s="1"/>
  <c r="D18" i="3"/>
  <c r="H16" i="3" s="1"/>
  <c r="E6" i="3"/>
  <c r="F6" i="3"/>
  <c r="D10" i="3"/>
  <c r="D22" i="3"/>
  <c r="F18" i="3"/>
  <c r="D6" i="3"/>
  <c r="E22" i="3"/>
  <c r="E14" i="3"/>
  <c r="F26" i="3"/>
  <c r="D26" i="3"/>
  <c r="H20" i="3"/>
  <c r="B6" i="7"/>
  <c r="B7" i="7"/>
  <c r="B5" i="7"/>
  <c r="H4" i="3" l="1"/>
  <c r="H24" i="3"/>
  <c r="I24" i="3" s="1"/>
  <c r="I12" i="3"/>
  <c r="J12" i="3" s="1"/>
  <c r="I20" i="3"/>
  <c r="J20" i="3" s="1"/>
  <c r="I16" i="3"/>
  <c r="J16" i="3" s="1"/>
  <c r="C7" i="4"/>
  <c r="D4" i="4"/>
  <c r="B17" i="7"/>
  <c r="B16" i="7"/>
  <c r="B15" i="7"/>
  <c r="B14" i="7"/>
  <c r="B13" i="7"/>
  <c r="B12" i="7"/>
  <c r="C4" i="4"/>
  <c r="C5" i="4" s="1"/>
  <c r="D5" i="7"/>
  <c r="F3" i="7"/>
  <c r="E2" i="7"/>
  <c r="E3" i="7" s="1"/>
  <c r="D2" i="7"/>
  <c r="D3" i="7" s="1"/>
  <c r="I4" i="3" l="1"/>
  <c r="J4" i="3" s="1"/>
  <c r="I8" i="3"/>
  <c r="J8" i="3" s="1"/>
  <c r="J24" i="3"/>
  <c r="D7" i="4"/>
  <c r="E5" i="4"/>
  <c r="E4" i="4"/>
  <c r="B4" i="9"/>
  <c r="D10" i="4"/>
  <c r="B5" i="9" l="1"/>
  <c r="D5" i="4"/>
  <c r="D6" i="4" s="1"/>
  <c r="E6" i="4"/>
  <c r="C6" i="4" l="1"/>
  <c r="D9" i="4" l="1"/>
  <c r="D11" i="4" l="1"/>
  <c r="D12" i="4"/>
  <c r="E12" i="4" s="1"/>
  <c r="C14" i="4" l="1"/>
  <c r="E14" i="4" s="1"/>
  <c r="B7" i="9"/>
  <c r="B9" i="9" s="1"/>
  <c r="D13" i="4"/>
  <c r="D14" i="4" l="1"/>
  <c r="C15" i="4"/>
  <c r="B12" i="9"/>
  <c r="B11" i="9"/>
  <c r="E15" i="4" l="1"/>
  <c r="D15" i="4"/>
</calcChain>
</file>

<file path=xl/sharedStrings.xml><?xml version="1.0" encoding="utf-8"?>
<sst xmlns="http://schemas.openxmlformats.org/spreadsheetml/2006/main" count="145" uniqueCount="93">
  <si>
    <t>Tabellare</t>
  </si>
  <si>
    <t>Posizione</t>
  </si>
  <si>
    <t>VOCE RETRIBUTIVA</t>
  </si>
  <si>
    <t xml:space="preserve">TOTALE </t>
  </si>
  <si>
    <t>TOTALE COMPLESSIVO</t>
  </si>
  <si>
    <t>QUOTA CONVENZIONE</t>
  </si>
  <si>
    <t>TOTALE ENTI CONVENZIONATI</t>
  </si>
  <si>
    <t xml:space="preserve">1) incarichi in enti metropolitani </t>
  </si>
  <si>
    <t>2) incarichi in enti oltre 250.000 abitanti, in comuni capoluogo di provincia, in
amministrazioni provinciali</t>
  </si>
  <si>
    <t>3) incarichi in enti fino a 250.000 abitanti</t>
  </si>
  <si>
    <t>A</t>
  </si>
  <si>
    <t>B</t>
  </si>
  <si>
    <t>1) incarichi in enti superiori a 10.000 abitanti e fino a 65.000 abitanti</t>
  </si>
  <si>
    <t>2) incarichi in enti tra 3.000 e 10.000 abitanti</t>
  </si>
  <si>
    <t>C</t>
  </si>
  <si>
    <t xml:space="preserve">1) incarichi in enti fino a 3.000 abitanti </t>
  </si>
  <si>
    <t>IVC</t>
  </si>
  <si>
    <t>Mensile</t>
  </si>
  <si>
    <t>Tabellare + IVC</t>
  </si>
  <si>
    <t>Fascia</t>
  </si>
  <si>
    <t xml:space="preserve">Retribuzione tabellare </t>
  </si>
  <si>
    <t>Retribuzione posizione</t>
  </si>
  <si>
    <t>12mesi</t>
  </si>
  <si>
    <t>12 mesi</t>
  </si>
  <si>
    <t>A2</t>
  </si>
  <si>
    <t>A3</t>
  </si>
  <si>
    <t>A1</t>
  </si>
  <si>
    <t>B1</t>
  </si>
  <si>
    <t>B2</t>
  </si>
  <si>
    <t>Voce</t>
  </si>
  <si>
    <t>Galleggiamento?</t>
  </si>
  <si>
    <t>SI</t>
  </si>
  <si>
    <t>NO</t>
  </si>
  <si>
    <t>Segreteria convenzionate</t>
  </si>
  <si>
    <t>Annuale per 13 mensilità</t>
  </si>
  <si>
    <t xml:space="preserve">Annuale </t>
  </si>
  <si>
    <t>Classi</t>
  </si>
  <si>
    <t>13 mesi</t>
  </si>
  <si>
    <t>TOTALE</t>
  </si>
  <si>
    <t>Tabella 1</t>
  </si>
  <si>
    <t>Tabella 2</t>
  </si>
  <si>
    <t>→</t>
  </si>
  <si>
    <t>Corrispondenza</t>
  </si>
  <si>
    <t>enti metropolitani</t>
  </si>
  <si>
    <t>Classe I^ A</t>
  </si>
  <si>
    <t>Classe I^ B</t>
  </si>
  <si>
    <t>Classe II^</t>
  </si>
  <si>
    <t>Classe III^</t>
  </si>
  <si>
    <t>Classe IV</t>
  </si>
  <si>
    <t>Tabella 3</t>
  </si>
  <si>
    <t>fascia A</t>
  </si>
  <si>
    <t>fascia B</t>
  </si>
  <si>
    <t>fascia C</t>
  </si>
  <si>
    <t>Fascia/Classe ente/maggiorazione/convenzione</t>
  </si>
  <si>
    <t>compenso mensile spettante (incarico &gt; 60gg)</t>
  </si>
  <si>
    <t>Minimi e massimi della retribuzione di posizione</t>
  </si>
  <si>
    <t>minimo</t>
  </si>
  <si>
    <t>massimo</t>
  </si>
  <si>
    <t>compenso mensile spettante (incarico =/&lt; 60gg)</t>
  </si>
  <si>
    <t>Netto (tabellare -IVC)</t>
  </si>
  <si>
    <t>Totale Retribuzione di Posizione</t>
  </si>
  <si>
    <t>Misura del galleggiamento</t>
  </si>
  <si>
    <t>Retribuzione di posizione massima</t>
  </si>
  <si>
    <t>Retribuzione di posizione - importo minimo</t>
  </si>
  <si>
    <t>Retribuzione di posizione attribuita</t>
  </si>
  <si>
    <t>Retribuzione di posizione dirigenziale/EQ più elevata dell'ente</t>
  </si>
  <si>
    <t>Retribuzione aggiuntiva per sedi di segreteria convenzionata</t>
  </si>
  <si>
    <t>NB</t>
  </si>
  <si>
    <t>**Anche sul conglobamento nella base di calcolo dell'indennità di reggenza e supplenza dell'IVC - che è qualificabile quale aumento provvisorio dello stipendio finalizzato a tutelare i lavoratori dal mancato rinnovo del contratto collettivo - non vi sono prassi omogenee</t>
  </si>
  <si>
    <t>Indennità reggenza/supplenza Comune _______</t>
  </si>
  <si>
    <t>Trattamento stipendiale (art. 56, c. 1, lett.a)*</t>
  </si>
  <si>
    <t>Indennità di vacanza contrattuale**</t>
  </si>
  <si>
    <t>Retribuzione di posizione del segretario incaricato</t>
  </si>
  <si>
    <t>Maturato economico annuo, ove spettante</t>
  </si>
  <si>
    <t>Retribuzione individuale di anzianità, ove acquisita</t>
  </si>
  <si>
    <t>TOT.</t>
  </si>
  <si>
    <t>NB Ulteriori arretrati</t>
  </si>
  <si>
    <t>IVC 2025 - 2027</t>
  </si>
  <si>
    <t xml:space="preserve"> </t>
  </si>
  <si>
    <t>Nota di lettura</t>
  </si>
  <si>
    <t>gen-feb 2026</t>
  </si>
  <si>
    <t>CALCOLI ARRETRATI - CCNL 23.02.2026</t>
  </si>
  <si>
    <t>NB completare le caselle evidenziate in verde</t>
  </si>
  <si>
    <t>N.B: completare le caselle evidenziate in verde</t>
  </si>
  <si>
    <t>,</t>
  </si>
  <si>
    <t>FASCIA</t>
  </si>
  <si>
    <t>INCARICO</t>
  </si>
  <si>
    <t>NB Retribuzione di risultato</t>
  </si>
  <si>
    <t>Stipendio tabellare</t>
  </si>
  <si>
    <r>
      <t xml:space="preserve">L'art. 40, comma 1, del CCNL 23.02.2026 prevede che, </t>
    </r>
    <r>
      <rPr>
        <b/>
        <i/>
        <sz val="11"/>
        <color rgb="FF000000"/>
        <rFont val="Cambria"/>
        <family val="1"/>
      </rPr>
      <t>a decorrere dal 1° gennaio 2024</t>
    </r>
    <r>
      <rPr>
        <i/>
        <sz val="11"/>
        <color rgb="FF000000"/>
        <rFont val="Cambria"/>
        <family val="1"/>
      </rPr>
      <t xml:space="preserve">, Comuni e Province </t>
    </r>
    <r>
      <rPr>
        <b/>
        <i/>
        <sz val="11"/>
        <color rgb="FF000000"/>
        <rFont val="Cambria"/>
        <family val="1"/>
      </rPr>
      <t>devono</t>
    </r>
    <r>
      <rPr>
        <i/>
        <sz val="11"/>
        <color rgb="FF000000"/>
        <rFont val="Cambria"/>
        <family val="1"/>
      </rPr>
      <t xml:space="preserve"> incrementare annualmente  le risorse destinate alla retribuzione di risultato di un importo complessivamente pari allo </t>
    </r>
    <r>
      <rPr>
        <b/>
        <i/>
        <sz val="11"/>
        <color rgb="FF000000"/>
        <rFont val="Cambria"/>
        <family val="1"/>
      </rPr>
      <t>0,80% del monte salari</t>
    </r>
    <r>
      <rPr>
        <i/>
        <sz val="11"/>
        <color rgb="FF000000"/>
        <rFont val="Cambria"/>
        <family val="1"/>
      </rPr>
      <t xml:space="preserve"> </t>
    </r>
    <r>
      <rPr>
        <b/>
        <i/>
        <sz val="11"/>
        <color rgb="FF000000"/>
        <rFont val="Cambria"/>
        <family val="1"/>
      </rPr>
      <t>2021</t>
    </r>
    <r>
      <rPr>
        <i/>
        <sz val="11"/>
        <color rgb="FF000000"/>
        <rFont val="Cambria"/>
        <family val="1"/>
      </rPr>
      <t xml:space="preserve">.                                                                                                                                                                                                               Tale incremento, finanziato dal CCNL, è </t>
    </r>
    <r>
      <rPr>
        <b/>
        <i/>
        <sz val="11"/>
        <color rgb="FF000000"/>
        <rFont val="Cambria"/>
        <family val="1"/>
      </rPr>
      <t>obbligatorio</t>
    </r>
    <r>
      <rPr>
        <i/>
        <sz val="11"/>
        <color rgb="FF000000"/>
        <rFont val="Cambria"/>
        <family val="1"/>
      </rPr>
      <t xml:space="preserve"> e </t>
    </r>
    <r>
      <rPr>
        <b/>
        <i/>
        <sz val="11"/>
        <color rgb="FF000000"/>
        <rFont val="Cambria"/>
        <family val="1"/>
      </rPr>
      <t>non soggiace ai limiti previsti dall’art. 23, comma 2, del d.lgs. 75/2017</t>
    </r>
    <r>
      <rPr>
        <i/>
        <sz val="11"/>
        <color rgb="FF000000"/>
        <rFont val="Cambria"/>
        <family val="1"/>
      </rPr>
      <t xml:space="preserve">.                                                                     Le citate risorse aggiuntive possono, in alternativa, essere destinate – in tutto o in parte – a misure di welfare integrativo.                                                                                          Il comma 2 del medesimo articolo prevede inoltre che, </t>
    </r>
    <r>
      <rPr>
        <b/>
        <i/>
        <sz val="11"/>
        <color rgb="FF000000"/>
        <rFont val="Cambria"/>
        <family val="1"/>
      </rPr>
      <t>a partire dal 2025</t>
    </r>
    <r>
      <rPr>
        <i/>
        <sz val="11"/>
        <color rgb="FF000000"/>
        <rFont val="Cambria"/>
        <family val="1"/>
      </rPr>
      <t xml:space="preserve"> (come disposto dall’art. 1, comma 121, della legge 30 dicembre 2024, n. 207 – Legge di bilancio 2025), gli enti </t>
    </r>
    <r>
      <rPr>
        <b/>
        <i/>
        <sz val="11"/>
        <color rgb="FF000000"/>
        <rFont val="Cambria"/>
        <family val="1"/>
      </rPr>
      <t>possano</t>
    </r>
    <r>
      <rPr>
        <i/>
        <sz val="11"/>
        <color rgb="FF000000"/>
        <rFont val="Cambria"/>
        <family val="1"/>
      </rPr>
      <t xml:space="preserve"> incrementare ulteriormente tali risorse fino a un massimo dello</t>
    </r>
    <r>
      <rPr>
        <b/>
        <i/>
        <sz val="11"/>
        <color rgb="FF000000"/>
        <rFont val="Cambria"/>
        <family val="1"/>
      </rPr>
      <t xml:space="preserve"> 0,22% del monte salari 2021</t>
    </r>
    <r>
      <rPr>
        <i/>
        <sz val="11"/>
        <color rgb="FF000000"/>
        <rFont val="Cambria"/>
        <family val="1"/>
      </rPr>
      <t>. Anche questo incremento eventuale è escluso dai limiti dell’art. 23, comma 2, d.lgs. 75/2017.</t>
    </r>
  </si>
  <si>
    <t>Poiché lo stipendio tabellare è connesso esclusivamente alla fascia professionale , qualora l'incarico sia svolto in enti fino a 3.000, abitanti ma il segretario sia iscritto in fascia B o superiore, per la sola voce dello stipendio spetta il trattamento superiore</t>
  </si>
  <si>
    <r>
      <t>Eventuali “</t>
    </r>
    <r>
      <rPr>
        <b/>
        <i/>
        <sz val="11"/>
        <color theme="1"/>
        <rFont val="Cambria"/>
        <family val="1"/>
      </rPr>
      <t>arretrati di galleggiamento</t>
    </r>
    <r>
      <rPr>
        <i/>
        <sz val="11"/>
        <color theme="1"/>
        <rFont val="Cambria"/>
        <family val="1"/>
      </rPr>
      <t xml:space="preserve">”: l'importo annuo lordo della retribuzione di posizione di ciascun dirigente è stato incrementato dal CCNL, a decorrere dal 1° gennaio 2024, di </t>
    </r>
    <r>
      <rPr>
        <b/>
        <i/>
        <sz val="11"/>
        <color theme="1"/>
        <rFont val="Cambria"/>
        <family val="1"/>
      </rPr>
      <t>€ 1.792,44</t>
    </r>
    <r>
      <rPr>
        <i/>
        <sz val="11"/>
        <color theme="1"/>
        <rFont val="Cambria"/>
        <family val="1"/>
      </rPr>
      <t>; poiché la decorrenza di questi incrementi è retroattiva, tali incrementi sono pienamente computabili, con le medesime decorrenze retroattive ai fini del cd. galleggiamento, naturalmente se in tale lasso temporale ne ricorrevano i presupposti e secondo le regole del galleggiamento ante riformulazione del CCNL 23.02.2026. Se ricorrono le citate circostanze anche tali arretrati sono pienamente esigibili.</t>
    </r>
  </si>
  <si>
    <t>*Il trattamento stipendiale comprende anche la tredicesima mensilità costituendo anch'essa base di calcolo per l'indennità di reggenza/supplenza. La previsione della tredicesima, infatti, contenuta nel comma 2 e non nel comma 1 dell’art 56 del CCNL 17.07.2024, non dà luogo ad una voce retributiva diversa e a sé stante ma piuttosto precisa l’obbligo di corrispondere una mensilità aggiuntiva (la tredicesima mensilità, appunto) di una delle voci precedentemente elencate al comma 1, ovvero lo stipendio tabellare. Si segnala che sul tema l'ARAN si è espressa in senso opposto in vigenza del CCNL 16.05.2001 che conteneva, all'art. 37, la medesima elencazione delle voci che costituiscono "la retribuzione"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</si>
</sst>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_€"/>
    <numFmt numFmtId="165" formatCode="_-&quot;€&quot;\ * #,##0.00_-;\-&quot;€&quot;\ * #,##0.00_-;_-&quot;€&quot;\ * &quot;-&quot;??_-;_-@_-"/>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1"/>
      <color theme="1"/>
      <name val="Cambria"/>
      <family val="1"/>
    </font>
    <font>
      <b/>
      <sz val="14"/>
      <color theme="1"/>
      <name val="Cambria"/>
      <family val="1"/>
    </font>
    <font>
      <sz val="14"/>
      <color theme="1"/>
      <name val="Cambria"/>
      <family val="1"/>
    </font>
    <font>
      <b/>
      <i/>
      <sz val="11"/>
      <color theme="1"/>
      <name val="Cambria"/>
      <family val="1"/>
    </font>
    <font>
      <b/>
      <sz val="11"/>
      <color theme="1"/>
      <name val="Cambria"/>
      <family val="1"/>
    </font>
    <font>
      <i/>
      <sz val="11"/>
      <color theme="1"/>
      <name val="Cambria"/>
      <family val="1"/>
    </font>
    <font>
      <sz val="12"/>
      <color theme="1"/>
      <name val="Aptos"/>
      <family val="2"/>
    </font>
    <font>
      <i/>
      <sz val="11"/>
      <color rgb="FF000000"/>
      <name val="Cambria"/>
      <family val="1"/>
    </font>
    <font>
      <b/>
      <i/>
      <sz val="11"/>
      <color rgb="FF000000"/>
      <name val="Cambria"/>
      <family val="1"/>
    </font>
    <font>
      <b/>
      <sz val="12"/>
      <color theme="1"/>
      <name val="Cambria"/>
      <family val="1"/>
    </font>
    <font>
      <sz val="12"/>
      <color theme="1"/>
      <name val="Cambria"/>
      <family val="1"/>
    </font>
    <font>
      <sz val="12"/>
      <color rgb="FFFF0000"/>
      <name val="Cambria"/>
      <family val="1"/>
    </font>
    <font>
      <b/>
      <sz val="12"/>
      <name val="Cambria"/>
      <family val="1"/>
    </font>
    <font>
      <i/>
      <sz val="12"/>
      <color theme="1"/>
      <name val="Cambria"/>
      <family val="1"/>
    </font>
  </fonts>
  <fills count="23">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rgb="FF00FF00"/>
        <bgColor indexed="64"/>
      </patternFill>
    </fill>
    <fill>
      <patternFill patternType="solid">
        <fgColor rgb="FFDDEBF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s>
  <cellStyleXfs count="4">
    <xf numFmtId="0" fontId="0" fillId="0" borderId="0"/>
    <xf numFmtId="9" fontId="2" fillId="0" borderId="0" applyFont="0" applyFill="0" applyBorder="0" applyAlignment="0" applyProtection="0"/>
    <xf numFmtId="165" fontId="4" fillId="0" borderId="0" applyFont="0" applyFill="0" applyBorder="0" applyAlignment="0" applyProtection="0"/>
    <xf numFmtId="43" fontId="2" fillId="0" borderId="0" applyFont="0" applyFill="0" applyBorder="0" applyAlignment="0" applyProtection="0"/>
  </cellStyleXfs>
  <cellXfs count="175">
    <xf numFmtId="0" fontId="0" fillId="0" borderId="0" xfId="0"/>
    <xf numFmtId="4" fontId="0" fillId="0" borderId="0" xfId="0" applyNumberFormat="1"/>
    <xf numFmtId="4" fontId="3" fillId="0" borderId="0" xfId="0" applyNumberFormat="1" applyFont="1"/>
    <xf numFmtId="0" fontId="3" fillId="0" borderId="0" xfId="0" applyFont="1"/>
    <xf numFmtId="0" fontId="1" fillId="0" borderId="0" xfId="0" applyFont="1"/>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0" borderId="0" xfId="0" applyFont="1" applyAlignment="1">
      <alignment horizontal="center"/>
    </xf>
    <xf numFmtId="0" fontId="0" fillId="8" borderId="16" xfId="0" applyFill="1" applyBorder="1"/>
    <xf numFmtId="0" fontId="0" fillId="8" borderId="6" xfId="0" applyFill="1" applyBorder="1"/>
    <xf numFmtId="0" fontId="0" fillId="8" borderId="9" xfId="0" applyFill="1" applyBorder="1"/>
    <xf numFmtId="0" fontId="0" fillId="8" borderId="5" xfId="0" applyFill="1" applyBorder="1"/>
    <xf numFmtId="0" fontId="0" fillId="8" borderId="0" xfId="0" applyFill="1"/>
    <xf numFmtId="0" fontId="0" fillId="8" borderId="17" xfId="0" applyFill="1" applyBorder="1"/>
    <xf numFmtId="0" fontId="0" fillId="8" borderId="2" xfId="0" applyFill="1" applyBorder="1"/>
    <xf numFmtId="0" fontId="0" fillId="8" borderId="3" xfId="0" applyFill="1" applyBorder="1"/>
    <xf numFmtId="0" fontId="0" fillId="8" borderId="4" xfId="0" applyFill="1" applyBorder="1"/>
    <xf numFmtId="0" fontId="0" fillId="14" borderId="16" xfId="0" applyFill="1" applyBorder="1"/>
    <xf numFmtId="4" fontId="0" fillId="14" borderId="20" xfId="0" applyNumberFormat="1" applyFill="1" applyBorder="1"/>
    <xf numFmtId="4" fontId="0" fillId="14" borderId="21" xfId="0" applyNumberFormat="1" applyFill="1" applyBorder="1"/>
    <xf numFmtId="0" fontId="0" fillId="14" borderId="6" xfId="0" applyFill="1" applyBorder="1"/>
    <xf numFmtId="4" fontId="0" fillId="14" borderId="12" xfId="0" applyNumberFormat="1" applyFill="1" applyBorder="1"/>
    <xf numFmtId="4" fontId="0" fillId="14" borderId="8" xfId="0" applyNumberFormat="1" applyFill="1" applyBorder="1"/>
    <xf numFmtId="0" fontId="0" fillId="14" borderId="9" xfId="0" applyFill="1" applyBorder="1"/>
    <xf numFmtId="4" fontId="0" fillId="14" borderId="22" xfId="0" applyNumberFormat="1" applyFill="1" applyBorder="1"/>
    <xf numFmtId="4" fontId="0" fillId="14" borderId="11" xfId="0" applyNumberFormat="1" applyFill="1" applyBorder="1"/>
    <xf numFmtId="0" fontId="0" fillId="14" borderId="5" xfId="0" applyFill="1" applyBorder="1"/>
    <xf numFmtId="4" fontId="0" fillId="14" borderId="7" xfId="0" applyNumberFormat="1" applyFill="1" applyBorder="1"/>
    <xf numFmtId="0" fontId="0" fillId="14" borderId="0" xfId="0" applyFill="1"/>
    <xf numFmtId="0" fontId="0" fillId="14" borderId="17" xfId="0" applyFill="1" applyBorder="1"/>
    <xf numFmtId="4" fontId="0" fillId="14" borderId="10" xfId="0" applyNumberFormat="1" applyFill="1" applyBorder="1"/>
    <xf numFmtId="0" fontId="5" fillId="0" borderId="0" xfId="0" applyFont="1"/>
    <xf numFmtId="0" fontId="5" fillId="0" borderId="0" xfId="0" applyFont="1" applyAlignment="1">
      <alignment wrapText="1"/>
    </xf>
    <xf numFmtId="0" fontId="8" fillId="0" borderId="23" xfId="0" applyFont="1" applyBorder="1" applyAlignment="1">
      <alignment horizontal="center"/>
    </xf>
    <xf numFmtId="0" fontId="8" fillId="19" borderId="23" xfId="0" applyFont="1" applyFill="1" applyBorder="1" applyAlignment="1">
      <alignment horizontal="center"/>
    </xf>
    <xf numFmtId="0" fontId="5" fillId="3" borderId="2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1" xfId="0" applyFont="1" applyFill="1" applyBorder="1" applyAlignment="1">
      <alignment horizontal="center" vertical="center"/>
    </xf>
    <xf numFmtId="4" fontId="5" fillId="2" borderId="1" xfId="0" applyNumberFormat="1" applyFont="1" applyFill="1" applyBorder="1" applyAlignment="1">
      <alignment wrapText="1"/>
    </xf>
    <xf numFmtId="0" fontId="5" fillId="4" borderId="2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7" borderId="25" xfId="0" applyFont="1" applyFill="1" applyBorder="1" applyAlignment="1">
      <alignment horizontal="center" vertical="center"/>
    </xf>
    <xf numFmtId="0" fontId="5" fillId="7" borderId="1" xfId="0" applyFont="1" applyFill="1" applyBorder="1" applyAlignment="1">
      <alignment horizontal="center" vertical="center"/>
    </xf>
    <xf numFmtId="4" fontId="5" fillId="7" borderId="1" xfId="0" applyNumberFormat="1" applyFont="1" applyFill="1" applyBorder="1" applyAlignment="1">
      <alignment horizontal="center" vertical="center" wrapText="1"/>
    </xf>
    <xf numFmtId="0" fontId="5" fillId="8" borderId="25"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5" fillId="10" borderId="25" xfId="0" applyFont="1" applyFill="1" applyBorder="1" applyAlignment="1">
      <alignment horizontal="center" vertical="center"/>
    </xf>
    <xf numFmtId="0" fontId="5" fillId="10" borderId="1" xfId="0" applyFont="1" applyFill="1" applyBorder="1" applyAlignment="1">
      <alignment horizontal="center" vertical="center"/>
    </xf>
    <xf numFmtId="4" fontId="5" fillId="10" borderId="1" xfId="0" applyNumberFormat="1" applyFont="1" applyFill="1" applyBorder="1" applyAlignment="1">
      <alignment horizontal="center" vertical="center" wrapText="1"/>
    </xf>
    <xf numFmtId="0" fontId="9" fillId="0" borderId="0" xfId="0" applyFont="1" applyAlignment="1">
      <alignment wrapText="1"/>
    </xf>
    <xf numFmtId="0" fontId="8" fillId="0" borderId="23" xfId="0" applyFont="1" applyBorder="1" applyAlignment="1">
      <alignment horizontal="center" wrapText="1"/>
    </xf>
    <xf numFmtId="0" fontId="11" fillId="0" borderId="0" xfId="0" applyFont="1"/>
    <xf numFmtId="49" fontId="5" fillId="0" borderId="0" xfId="0" applyNumberFormat="1" applyFont="1" applyAlignment="1">
      <alignment wrapText="1"/>
    </xf>
    <xf numFmtId="49" fontId="14" fillId="11" borderId="47" xfId="0" applyNumberFormat="1" applyFont="1" applyFill="1" applyBorder="1" applyAlignment="1">
      <alignment horizontal="center" vertical="center" wrapText="1"/>
    </xf>
    <xf numFmtId="49" fontId="14" fillId="11" borderId="48" xfId="0" applyNumberFormat="1" applyFont="1" applyFill="1" applyBorder="1" applyAlignment="1">
      <alignment horizontal="center" vertical="center" wrapText="1"/>
    </xf>
    <xf numFmtId="0" fontId="14" fillId="11" borderId="48" xfId="0" applyFont="1" applyFill="1" applyBorder="1" applyAlignment="1">
      <alignment horizontal="center" vertical="center" wrapText="1"/>
    </xf>
    <xf numFmtId="0" fontId="14" fillId="11" borderId="39" xfId="0" applyFont="1" applyFill="1" applyBorder="1" applyAlignment="1">
      <alignment horizontal="center" vertical="center" wrapText="1"/>
    </xf>
    <xf numFmtId="49" fontId="15" fillId="15" borderId="32" xfId="0" applyNumberFormat="1" applyFont="1" applyFill="1" applyBorder="1" applyAlignment="1">
      <alignment horizontal="justify" vertical="center" wrapText="1"/>
    </xf>
    <xf numFmtId="49" fontId="15" fillId="21" borderId="25" xfId="0" applyNumberFormat="1" applyFont="1" applyFill="1" applyBorder="1" applyAlignment="1" applyProtection="1">
      <alignment horizontal="center" vertical="center" wrapText="1"/>
      <protection locked="0"/>
    </xf>
    <xf numFmtId="164" fontId="15" fillId="15" borderId="25" xfId="0" applyNumberFormat="1" applyFont="1" applyFill="1" applyBorder="1" applyAlignment="1">
      <alignment horizontal="right" vertical="center"/>
    </xf>
    <xf numFmtId="164" fontId="15" fillId="15" borderId="26" xfId="0" applyNumberFormat="1" applyFont="1" applyFill="1" applyBorder="1" applyAlignment="1">
      <alignment horizontal="right" vertical="center"/>
    </xf>
    <xf numFmtId="49" fontId="15" fillId="15" borderId="1" xfId="0" applyNumberFormat="1" applyFont="1" applyFill="1" applyBorder="1" applyAlignment="1">
      <alignment horizontal="justify" vertical="center" wrapText="1"/>
    </xf>
    <xf numFmtId="49" fontId="15" fillId="15" borderId="1" xfId="0" applyNumberFormat="1" applyFont="1" applyFill="1" applyBorder="1" applyAlignment="1">
      <alignment horizontal="center" vertical="center" wrapText="1"/>
    </xf>
    <xf numFmtId="164" fontId="15" fillId="15" borderId="1" xfId="0" applyNumberFormat="1" applyFont="1" applyFill="1" applyBorder="1" applyAlignment="1">
      <alignment horizontal="right" vertical="center"/>
    </xf>
    <xf numFmtId="164" fontId="15" fillId="15" borderId="28" xfId="0" applyNumberFormat="1" applyFont="1" applyFill="1" applyBorder="1" applyAlignment="1">
      <alignment horizontal="right" vertical="center"/>
    </xf>
    <xf numFmtId="49" fontId="14" fillId="15" borderId="42" xfId="0" applyNumberFormat="1" applyFont="1" applyFill="1" applyBorder="1" applyAlignment="1">
      <alignment horizontal="left" vertical="center" wrapText="1"/>
    </xf>
    <xf numFmtId="49" fontId="14" fillId="15" borderId="23" xfId="0" applyNumberFormat="1" applyFont="1" applyFill="1" applyBorder="1" applyAlignment="1">
      <alignment horizontal="center" vertical="center" wrapText="1"/>
    </xf>
    <xf numFmtId="164" fontId="14" fillId="15" borderId="23" xfId="0" applyNumberFormat="1" applyFont="1" applyFill="1" applyBorder="1" applyAlignment="1">
      <alignment horizontal="right" vertical="center"/>
    </xf>
    <xf numFmtId="164" fontId="14" fillId="15" borderId="43" xfId="0" applyNumberFormat="1" applyFont="1" applyFill="1" applyBorder="1" applyAlignment="1">
      <alignment horizontal="right" vertical="center"/>
    </xf>
    <xf numFmtId="49" fontId="15" fillId="16" borderId="24" xfId="0" applyNumberFormat="1" applyFont="1" applyFill="1" applyBorder="1" applyAlignment="1">
      <alignment horizontal="justify" vertical="center" wrapText="1"/>
    </xf>
    <xf numFmtId="164" fontId="15" fillId="16" borderId="25" xfId="0" applyNumberFormat="1" applyFont="1" applyFill="1" applyBorder="1" applyAlignment="1">
      <alignment horizontal="right" vertical="center"/>
    </xf>
    <xf numFmtId="164" fontId="15" fillId="16" borderId="26" xfId="0" applyNumberFormat="1" applyFont="1" applyFill="1" applyBorder="1" applyAlignment="1">
      <alignment horizontal="right" vertical="center"/>
    </xf>
    <xf numFmtId="49" fontId="15" fillId="16" borderId="27" xfId="0" applyNumberFormat="1" applyFont="1" applyFill="1" applyBorder="1" applyAlignment="1">
      <alignment horizontal="justify" vertical="center" wrapText="1"/>
    </xf>
    <xf numFmtId="49" fontId="14" fillId="16" borderId="1" xfId="0" applyNumberFormat="1" applyFont="1" applyFill="1" applyBorder="1" applyAlignment="1">
      <alignment horizontal="center" vertical="center" wrapText="1"/>
    </xf>
    <xf numFmtId="164" fontId="15" fillId="16" borderId="1" xfId="0" applyNumberFormat="1" applyFont="1" applyFill="1" applyBorder="1" applyAlignment="1">
      <alignment horizontal="right" vertical="center"/>
    </xf>
    <xf numFmtId="164" fontId="15" fillId="16" borderId="28" xfId="0" applyNumberFormat="1" applyFont="1" applyFill="1" applyBorder="1" applyAlignment="1">
      <alignment horizontal="right" vertical="center"/>
    </xf>
    <xf numFmtId="4" fontId="16" fillId="16" borderId="1" xfId="0" applyNumberFormat="1" applyFont="1" applyFill="1" applyBorder="1" applyAlignment="1">
      <alignment horizontal="center" vertical="center" wrapText="1"/>
    </xf>
    <xf numFmtId="164" fontId="15" fillId="21" borderId="1" xfId="0" applyNumberFormat="1" applyFont="1" applyFill="1" applyBorder="1" applyAlignment="1" applyProtection="1">
      <alignment horizontal="right" vertical="center"/>
      <protection locked="0"/>
    </xf>
    <xf numFmtId="4" fontId="15" fillId="16" borderId="1" xfId="0" applyNumberFormat="1" applyFont="1" applyFill="1" applyBorder="1" applyAlignment="1">
      <alignment horizontal="center" vertical="center" wrapText="1"/>
    </xf>
    <xf numFmtId="164" fontId="5" fillId="0" borderId="0" xfId="0" applyNumberFormat="1" applyFont="1"/>
    <xf numFmtId="49" fontId="15" fillId="16" borderId="27" xfId="0" applyNumberFormat="1" applyFont="1" applyFill="1" applyBorder="1" applyAlignment="1">
      <alignment wrapText="1"/>
    </xf>
    <xf numFmtId="0" fontId="15" fillId="16" borderId="1" xfId="0" applyFont="1" applyFill="1" applyBorder="1" applyAlignment="1">
      <alignment horizontal="center" vertical="center"/>
    </xf>
    <xf numFmtId="164" fontId="15" fillId="16" borderId="1" xfId="0" applyNumberFormat="1" applyFont="1" applyFill="1" applyBorder="1" applyAlignment="1">
      <alignment horizontal="right" vertical="center" wrapText="1"/>
    </xf>
    <xf numFmtId="49" fontId="15" fillId="16" borderId="27" xfId="0" applyNumberFormat="1" applyFont="1" applyFill="1" applyBorder="1" applyAlignment="1">
      <alignment horizontal="left" vertical="center" wrapText="1"/>
    </xf>
    <xf numFmtId="164" fontId="14" fillId="16" borderId="1" xfId="0" applyNumberFormat="1" applyFont="1" applyFill="1" applyBorder="1" applyAlignment="1">
      <alignment horizontal="right" vertical="center"/>
    </xf>
    <xf numFmtId="49" fontId="14" fillId="16" borderId="29" xfId="0" applyNumberFormat="1" applyFont="1" applyFill="1" applyBorder="1" applyAlignment="1">
      <alignment horizontal="left" vertical="center" wrapText="1"/>
    </xf>
    <xf numFmtId="4" fontId="14" fillId="16" borderId="30" xfId="0" applyNumberFormat="1" applyFont="1" applyFill="1" applyBorder="1" applyAlignment="1">
      <alignment horizontal="center" vertical="center" wrapText="1"/>
    </xf>
    <xf numFmtId="164" fontId="14" fillId="16" borderId="30" xfId="0" applyNumberFormat="1" applyFont="1" applyFill="1" applyBorder="1" applyAlignment="1">
      <alignment horizontal="right" vertical="center"/>
    </xf>
    <xf numFmtId="164" fontId="15" fillId="16" borderId="31" xfId="0" applyNumberFormat="1" applyFont="1" applyFill="1" applyBorder="1" applyAlignment="1">
      <alignment horizontal="right" vertical="center"/>
    </xf>
    <xf numFmtId="49" fontId="15" fillId="17" borderId="24" xfId="0" applyNumberFormat="1" applyFont="1" applyFill="1" applyBorder="1" applyAlignment="1">
      <alignment wrapText="1"/>
    </xf>
    <xf numFmtId="9" fontId="15" fillId="21" borderId="37" xfId="1" applyFont="1" applyFill="1" applyBorder="1" applyAlignment="1" applyProtection="1">
      <alignment horizontal="center" vertical="center" wrapText="1"/>
      <protection locked="0"/>
    </xf>
    <xf numFmtId="164" fontId="15" fillId="17" borderId="37" xfId="0" applyNumberFormat="1" applyFont="1" applyFill="1" applyBorder="1" applyAlignment="1">
      <alignment horizontal="right" vertical="center"/>
    </xf>
    <xf numFmtId="164" fontId="15" fillId="17" borderId="38" xfId="0" applyNumberFormat="1" applyFont="1" applyFill="1" applyBorder="1" applyAlignment="1">
      <alignment horizontal="right" vertical="center"/>
    </xf>
    <xf numFmtId="49" fontId="14" fillId="14" borderId="34" xfId="0" applyNumberFormat="1" applyFont="1" applyFill="1" applyBorder="1" applyAlignment="1">
      <alignment horizontal="center" vertical="center" wrapText="1"/>
    </xf>
    <xf numFmtId="4" fontId="14" fillId="14" borderId="35" xfId="0" applyNumberFormat="1" applyFont="1" applyFill="1" applyBorder="1" applyAlignment="1">
      <alignment horizontal="center" vertical="center" wrapText="1"/>
    </xf>
    <xf numFmtId="164" fontId="14" fillId="14" borderId="35" xfId="0" applyNumberFormat="1" applyFont="1" applyFill="1" applyBorder="1" applyAlignment="1">
      <alignment horizontal="right" vertical="center"/>
    </xf>
    <xf numFmtId="164" fontId="14" fillId="14" borderId="36" xfId="0" applyNumberFormat="1" applyFont="1" applyFill="1" applyBorder="1" applyAlignment="1">
      <alignment horizontal="right" vertical="center"/>
    </xf>
    <xf numFmtId="0" fontId="15" fillId="0" borderId="0" xfId="0" applyFont="1"/>
    <xf numFmtId="0" fontId="15" fillId="0" borderId="53" xfId="0" applyFont="1" applyBorder="1"/>
    <xf numFmtId="0" fontId="15" fillId="0" borderId="40" xfId="0" applyFont="1" applyBorder="1"/>
    <xf numFmtId="165" fontId="15" fillId="0" borderId="54" xfId="2" applyFont="1" applyBorder="1"/>
    <xf numFmtId="0" fontId="15" fillId="19" borderId="40" xfId="0" applyFont="1" applyFill="1" applyBorder="1"/>
    <xf numFmtId="165" fontId="15" fillId="0" borderId="54" xfId="2" applyFont="1" applyFill="1" applyBorder="1"/>
    <xf numFmtId="165" fontId="15" fillId="21" borderId="54" xfId="2" applyFont="1" applyFill="1" applyBorder="1" applyProtection="1">
      <protection locked="0"/>
    </xf>
    <xf numFmtId="0" fontId="15" fillId="0" borderId="56" xfId="0" applyFont="1" applyBorder="1"/>
    <xf numFmtId="0" fontId="17" fillId="0" borderId="57" xfId="0" applyFont="1" applyBorder="1"/>
    <xf numFmtId="0" fontId="17" fillId="0" borderId="55" xfId="0" applyFont="1" applyBorder="1"/>
    <xf numFmtId="165" fontId="17" fillId="0" borderId="55" xfId="2" applyFont="1" applyFill="1" applyBorder="1"/>
    <xf numFmtId="43" fontId="15" fillId="0" borderId="0" xfId="0" applyNumberFormat="1" applyFont="1"/>
    <xf numFmtId="0" fontId="14" fillId="0" borderId="0" xfId="0" applyFont="1"/>
    <xf numFmtId="165" fontId="15" fillId="0" borderId="58" xfId="2" applyFont="1" applyBorder="1"/>
    <xf numFmtId="165" fontId="17" fillId="0" borderId="57" xfId="2" applyFont="1" applyBorder="1"/>
    <xf numFmtId="0" fontId="18" fillId="0" borderId="52" xfId="0" applyFont="1" applyBorder="1"/>
    <xf numFmtId="165" fontId="15" fillId="21" borderId="54" xfId="2" applyFont="1" applyFill="1" applyBorder="1"/>
    <xf numFmtId="0" fontId="12" fillId="22" borderId="18" xfId="0" applyFont="1" applyFill="1" applyBorder="1" applyAlignment="1">
      <alignment horizontal="center" vertical="center" wrapText="1"/>
    </xf>
    <xf numFmtId="0" fontId="12" fillId="22" borderId="51" xfId="0" applyFont="1" applyFill="1" applyBorder="1" applyAlignment="1">
      <alignment horizontal="center" vertical="center" wrapText="1"/>
    </xf>
    <xf numFmtId="0" fontId="12" fillId="22" borderId="19" xfId="0" applyFont="1" applyFill="1" applyBorder="1" applyAlignment="1">
      <alignment horizontal="center" vertical="center" wrapText="1"/>
    </xf>
    <xf numFmtId="0" fontId="9" fillId="0" borderId="59" xfId="0" applyFont="1" applyBorder="1" applyAlignment="1">
      <alignment horizontal="left"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10" borderId="24"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6" xfId="0" applyFont="1" applyFill="1" applyBorder="1" applyAlignment="1">
      <alignment horizontal="center" vertical="center" wrapText="1"/>
    </xf>
    <xf numFmtId="0" fontId="6" fillId="21" borderId="44" xfId="0" applyFont="1" applyFill="1" applyBorder="1" applyAlignment="1">
      <alignment horizontal="center"/>
    </xf>
    <xf numFmtId="0" fontId="7" fillId="21" borderId="45" xfId="0" applyFont="1" applyFill="1" applyBorder="1" applyAlignment="1">
      <alignment horizontal="center"/>
    </xf>
    <xf numFmtId="0" fontId="7" fillId="21" borderId="46" xfId="0" applyFont="1" applyFill="1" applyBorder="1" applyAlignment="1">
      <alignment horizontal="center"/>
    </xf>
    <xf numFmtId="0" fontId="9" fillId="9" borderId="41" xfId="0" applyFont="1" applyFill="1" applyBorder="1" applyAlignment="1">
      <alignment horizontal="center" vertical="center"/>
    </xf>
    <xf numFmtId="0" fontId="9" fillId="9" borderId="40"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0"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40" xfId="0" applyFont="1" applyFill="1" applyBorder="1" applyAlignment="1">
      <alignment horizontal="center" vertical="center"/>
    </xf>
    <xf numFmtId="49" fontId="14" fillId="21" borderId="1" xfId="0" applyNumberFormat="1" applyFont="1" applyFill="1" applyBorder="1" applyAlignment="1">
      <alignment horizontal="center" vertical="center" wrapText="1"/>
    </xf>
    <xf numFmtId="0" fontId="5" fillId="8" borderId="0" xfId="0" applyFont="1" applyFill="1" applyAlignment="1">
      <alignment horizontal="left" wrapText="1"/>
    </xf>
    <xf numFmtId="0" fontId="5" fillId="20" borderId="0" xfId="0" applyFont="1" applyFill="1" applyAlignment="1">
      <alignment horizontal="left" wrapText="1"/>
    </xf>
    <xf numFmtId="49" fontId="14" fillId="21" borderId="49" xfId="0" applyNumberFormat="1" applyFont="1" applyFill="1" applyBorder="1" applyAlignment="1">
      <alignment horizontal="center" vertical="center" wrapText="1"/>
    </xf>
    <xf numFmtId="49" fontId="14" fillId="21" borderId="50" xfId="0" applyNumberFormat="1" applyFont="1" applyFill="1" applyBorder="1" applyAlignment="1">
      <alignment horizontal="center" vertical="center" wrapText="1"/>
    </xf>
    <xf numFmtId="0" fontId="1" fillId="0" borderId="0" xfId="0" applyFont="1" applyAlignment="1">
      <alignment horizontal="left" wrapText="1"/>
    </xf>
    <xf numFmtId="43" fontId="5" fillId="3" borderId="25" xfId="3" applyFont="1" applyFill="1" applyBorder="1" applyAlignment="1">
      <alignment horizontal="center" vertical="center"/>
    </xf>
    <xf numFmtId="43" fontId="9" fillId="13" borderId="25" xfId="3" applyFont="1" applyFill="1" applyBorder="1" applyAlignment="1">
      <alignment horizontal="center" vertical="center"/>
    </xf>
    <xf numFmtId="43" fontId="5" fillId="18" borderId="25" xfId="3" applyFont="1" applyFill="1" applyBorder="1" applyAlignment="1">
      <alignment horizontal="center" vertical="center"/>
    </xf>
    <xf numFmtId="43" fontId="9" fillId="18" borderId="33" xfId="3" applyFont="1" applyFill="1" applyBorder="1" applyAlignment="1">
      <alignment horizontal="center" vertical="center"/>
    </xf>
    <xf numFmtId="43" fontId="5" fillId="3" borderId="1" xfId="3" applyFont="1" applyFill="1" applyBorder="1" applyAlignment="1">
      <alignment horizontal="center" vertical="center"/>
    </xf>
    <xf numFmtId="43" fontId="9" fillId="13" borderId="1" xfId="3" applyFont="1" applyFill="1" applyBorder="1" applyAlignment="1">
      <alignment horizontal="center" vertical="center"/>
    </xf>
    <xf numFmtId="43" fontId="5" fillId="18" borderId="1" xfId="3" applyFont="1" applyFill="1" applyBorder="1" applyAlignment="1">
      <alignment horizontal="center" vertical="center"/>
    </xf>
    <xf numFmtId="43" fontId="9" fillId="18" borderId="39" xfId="3" applyFont="1" applyFill="1" applyBorder="1" applyAlignment="1">
      <alignment horizontal="center" vertical="center"/>
    </xf>
    <xf numFmtId="43" fontId="9" fillId="18" borderId="38" xfId="3" applyFont="1" applyFill="1" applyBorder="1" applyAlignment="1">
      <alignment horizontal="center" vertical="center"/>
    </xf>
    <xf numFmtId="43" fontId="5" fillId="2" borderId="25" xfId="3" applyFont="1" applyFill="1" applyBorder="1" applyAlignment="1">
      <alignment horizontal="center" vertical="center"/>
    </xf>
    <xf numFmtId="43" fontId="5" fillId="2" borderId="1" xfId="3" applyFont="1" applyFill="1" applyBorder="1" applyAlignment="1">
      <alignment horizontal="center" vertical="center"/>
    </xf>
    <xf numFmtId="43" fontId="5" fillId="4" borderId="25" xfId="3" applyFont="1" applyFill="1" applyBorder="1" applyAlignment="1">
      <alignment horizontal="center" vertical="center"/>
    </xf>
    <xf numFmtId="43" fontId="5" fillId="4" borderId="1" xfId="3" applyFont="1" applyFill="1" applyBorder="1" applyAlignment="1">
      <alignment horizontal="center" vertical="center"/>
    </xf>
    <xf numFmtId="43" fontId="5" fillId="7" borderId="25" xfId="3" applyFont="1" applyFill="1" applyBorder="1" applyAlignment="1">
      <alignment horizontal="center" vertical="center"/>
    </xf>
    <xf numFmtId="43" fontId="5" fillId="7" borderId="1" xfId="3" applyFont="1" applyFill="1" applyBorder="1" applyAlignment="1">
      <alignment horizontal="center" vertical="center"/>
    </xf>
    <xf numFmtId="43" fontId="5" fillId="8" borderId="25" xfId="3" applyFont="1" applyFill="1" applyBorder="1" applyAlignment="1">
      <alignment horizontal="center" vertical="center"/>
    </xf>
    <xf numFmtId="43" fontId="5" fillId="8" borderId="1" xfId="3" applyFont="1" applyFill="1" applyBorder="1" applyAlignment="1">
      <alignment horizontal="center" vertical="center"/>
    </xf>
    <xf numFmtId="43" fontId="5" fillId="10" borderId="25" xfId="3" applyFont="1" applyFill="1" applyBorder="1" applyAlignment="1">
      <alignment horizontal="center" vertical="center"/>
    </xf>
    <xf numFmtId="43" fontId="5" fillId="10" borderId="1" xfId="3" applyFont="1" applyFill="1" applyBorder="1" applyAlignment="1">
      <alignment horizontal="center" vertical="center"/>
    </xf>
  </cellXfs>
  <cellStyles count="4">
    <cellStyle name="Euro" xfId="2" xr:uid="{41F04BFD-B291-43A8-879D-A167D30E7F18}"/>
    <cellStyle name="Migliaia" xfId="3" builtinId="3"/>
    <cellStyle name="Normale" xfId="0" builtinId="0"/>
    <cellStyle name="Percentuale" xfId="1" builtinId="5"/>
  </cellStyles>
  <dxfs count="0"/>
  <tableStyles count="0" defaultTableStyle="TableStyleMedium2" defaultPivotStyle="PivotStyleLight16"/>
  <colors>
    <mruColors>
      <color rgb="FF00FF00"/>
      <color rgb="FFE7E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810318</xdr:colOff>
      <xdr:row>0</xdr:row>
      <xdr:rowOff>1762125</xdr:rowOff>
    </xdr:to>
    <xdr:pic>
      <xdr:nvPicPr>
        <xdr:cNvPr id="3" name="Immagine 2">
          <a:extLst>
            <a:ext uri="{FF2B5EF4-FFF2-40B4-BE49-F238E27FC236}">
              <a16:creationId xmlns:a16="http://schemas.microsoft.com/office/drawing/2014/main" id="{6DCAD9E3-8859-456B-BA4F-7C17E83786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1762125"/>
        </a:xfrm>
        <a:prstGeom prst="rect">
          <a:avLst/>
        </a:prstGeom>
      </xdr:spPr>
    </xdr:pic>
    <xdr:clientData/>
  </xdr:twoCellAnchor>
  <xdr:twoCellAnchor editAs="oneCell">
    <xdr:from>
      <xdr:col>0</xdr:col>
      <xdr:colOff>0</xdr:colOff>
      <xdr:row>0</xdr:row>
      <xdr:rowOff>0</xdr:rowOff>
    </xdr:from>
    <xdr:to>
      <xdr:col>1</xdr:col>
      <xdr:colOff>827463</xdr:colOff>
      <xdr:row>0</xdr:row>
      <xdr:rowOff>1756410</xdr:rowOff>
    </xdr:to>
    <xdr:pic>
      <xdr:nvPicPr>
        <xdr:cNvPr id="2" name="Immagine 1">
          <a:extLst>
            <a:ext uri="{FF2B5EF4-FFF2-40B4-BE49-F238E27FC236}">
              <a16:creationId xmlns:a16="http://schemas.microsoft.com/office/drawing/2014/main" id="{83073FE6-436F-4889-AAEA-BF3EAFE9F0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6840" cy="1756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0</xdr:row>
      <xdr:rowOff>1762125</xdr:rowOff>
    </xdr:to>
    <xdr:pic>
      <xdr:nvPicPr>
        <xdr:cNvPr id="9" name="Immagine 8">
          <a:extLst>
            <a:ext uri="{FF2B5EF4-FFF2-40B4-BE49-F238E27FC236}">
              <a16:creationId xmlns:a16="http://schemas.microsoft.com/office/drawing/2014/main" id="{C8C9D29E-0425-4B47-AEEB-DA5528BAB5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176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0</xdr:row>
      <xdr:rowOff>1762125</xdr:rowOff>
    </xdr:to>
    <xdr:pic>
      <xdr:nvPicPr>
        <xdr:cNvPr id="3" name="Immagine 2">
          <a:extLst>
            <a:ext uri="{FF2B5EF4-FFF2-40B4-BE49-F238E27FC236}">
              <a16:creationId xmlns:a16="http://schemas.microsoft.com/office/drawing/2014/main" id="{A3A5744A-ED34-4BE1-9EB8-269249230B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ede\Downloads\calcoli%20arretrati%20contrattuali%20e%20stipendio%20a%20regim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retrati contrattuali"/>
      <sheetName val="Stipendi adeguati al nuovo CCNL"/>
      <sheetName val="legenda"/>
      <sheetName val="Ind. Posizione CCNL 17 12 2020"/>
      <sheetName val="Ind. Posizione CCNL 16 5 2001"/>
      <sheetName val="Foglio1"/>
    </sheetNames>
    <sheetDataSet>
      <sheetData sheetId="0"/>
      <sheetData sheetId="1"/>
      <sheetData sheetId="2">
        <row r="5">
          <cell r="B5">
            <v>41779.17</v>
          </cell>
          <cell r="C5">
            <v>45260.767500000002</v>
          </cell>
        </row>
        <row r="6">
          <cell r="B6">
            <v>41779.17</v>
          </cell>
          <cell r="C6">
            <v>45260.767500000002</v>
          </cell>
        </row>
        <row r="7">
          <cell r="B7">
            <v>33423.31</v>
          </cell>
          <cell r="C7">
            <v>36208.585833333331</v>
          </cell>
        </row>
        <row r="9">
          <cell r="C9"/>
        </row>
      </sheetData>
      <sheetData sheetId="3"/>
      <sheetData sheetId="4">
        <row r="3">
          <cell r="C3">
            <v>42865.922624427381</v>
          </cell>
        </row>
      </sheetData>
      <sheetData sheetId="5"/>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zoomScale="110" zoomScaleNormal="110" workbookViewId="0">
      <selection activeCell="F10" sqref="F10"/>
    </sheetView>
  </sheetViews>
  <sheetFormatPr defaultColWidth="8.85546875" defaultRowHeight="14.25" x14ac:dyDescent="0.2"/>
  <cols>
    <col min="1" max="1" width="8.42578125" style="32" customWidth="1"/>
    <col min="2" max="2" width="24.42578125" style="33" customWidth="1"/>
    <col min="3" max="3" width="23.42578125" style="32" customWidth="1"/>
    <col min="4" max="5" width="11.5703125" style="32" bestFit="1" customWidth="1"/>
    <col min="6" max="6" width="14.7109375" style="32" bestFit="1" customWidth="1"/>
    <col min="7" max="7" width="11.5703125" style="32" bestFit="1" customWidth="1"/>
    <col min="8" max="8" width="14.85546875" style="32" customWidth="1"/>
    <col min="9" max="9" width="15.28515625" style="32" customWidth="1"/>
    <col min="10" max="10" width="17.28515625" style="32" customWidth="1"/>
    <col min="11" max="16384" width="8.85546875" style="32"/>
  </cols>
  <sheetData>
    <row r="1" spans="1:10" ht="143.44999999999999" customHeight="1" x14ac:dyDescent="0.2"/>
    <row r="2" spans="1:10" ht="18" x14ac:dyDescent="0.25">
      <c r="A2" s="141" t="s">
        <v>81</v>
      </c>
      <c r="B2" s="142"/>
      <c r="C2" s="142"/>
      <c r="D2" s="142"/>
      <c r="E2" s="142"/>
      <c r="F2" s="142"/>
      <c r="G2" s="142"/>
      <c r="H2" s="142"/>
      <c r="I2" s="142"/>
      <c r="J2" s="143"/>
    </row>
    <row r="3" spans="1:10" ht="43.5" thickBot="1" x14ac:dyDescent="0.25">
      <c r="A3" s="55" t="s">
        <v>85</v>
      </c>
      <c r="B3" s="55" t="s">
        <v>86</v>
      </c>
      <c r="C3" s="55" t="s">
        <v>2</v>
      </c>
      <c r="D3" s="34">
        <v>2024</v>
      </c>
      <c r="E3" s="34">
        <v>2025</v>
      </c>
      <c r="F3" s="35" t="s">
        <v>80</v>
      </c>
      <c r="G3" s="34" t="s">
        <v>3</v>
      </c>
      <c r="H3" s="55" t="s">
        <v>4</v>
      </c>
      <c r="I3" s="55" t="s">
        <v>5</v>
      </c>
      <c r="J3" s="55" t="s">
        <v>6</v>
      </c>
    </row>
    <row r="4" spans="1:10" x14ac:dyDescent="0.2">
      <c r="A4" s="146" t="s">
        <v>10</v>
      </c>
      <c r="B4" s="132" t="s">
        <v>7</v>
      </c>
      <c r="C4" s="36" t="s">
        <v>0</v>
      </c>
      <c r="D4" s="156">
        <f>230*13</f>
        <v>2990</v>
      </c>
      <c r="E4" s="156">
        <f>230*13</f>
        <v>2990</v>
      </c>
      <c r="F4" s="156">
        <f>230*2</f>
        <v>460</v>
      </c>
      <c r="G4" s="156">
        <f>SUM(D4:F4)</f>
        <v>6440</v>
      </c>
      <c r="H4" s="157">
        <f>G6+G7</f>
        <v>10409.279999999999</v>
      </c>
      <c r="I4" s="158">
        <f>(H4)*0.25</f>
        <v>2602.3199999999997</v>
      </c>
      <c r="J4" s="159">
        <f>SUM(H4:I4)</f>
        <v>13011.599999999999</v>
      </c>
    </row>
    <row r="5" spans="1:10" x14ac:dyDescent="0.2">
      <c r="A5" s="147"/>
      <c r="B5" s="133"/>
      <c r="C5" s="37" t="s">
        <v>16</v>
      </c>
      <c r="D5" s="160">
        <f>139.24*13</f>
        <v>1810.1200000000001</v>
      </c>
      <c r="E5" s="160">
        <f>139.24*13</f>
        <v>1810.1200000000001</v>
      </c>
      <c r="F5" s="160">
        <f>F9</f>
        <v>278.48</v>
      </c>
      <c r="G5" s="160">
        <f>SUM(D5:F5)</f>
        <v>3898.7200000000003</v>
      </c>
      <c r="H5" s="161"/>
      <c r="I5" s="162"/>
      <c r="J5" s="163"/>
    </row>
    <row r="6" spans="1:10" x14ac:dyDescent="0.2">
      <c r="A6" s="147"/>
      <c r="B6" s="133"/>
      <c r="C6" s="38" t="s">
        <v>59</v>
      </c>
      <c r="D6" s="160">
        <f t="shared" ref="D6:F6" si="0">D4-D5</f>
        <v>1179.8799999999999</v>
      </c>
      <c r="E6" s="160">
        <f t="shared" si="0"/>
        <v>1179.8799999999999</v>
      </c>
      <c r="F6" s="160">
        <f t="shared" si="0"/>
        <v>181.51999999999998</v>
      </c>
      <c r="G6" s="160">
        <f>SUM(D6:F6)</f>
        <v>2541.2799999999997</v>
      </c>
      <c r="H6" s="161"/>
      <c r="I6" s="162"/>
      <c r="J6" s="163"/>
    </row>
    <row r="7" spans="1:10" ht="15" thickBot="1" x14ac:dyDescent="0.25">
      <c r="A7" s="147"/>
      <c r="B7" s="133"/>
      <c r="C7" s="37" t="s">
        <v>1</v>
      </c>
      <c r="D7" s="160">
        <v>3653</v>
      </c>
      <c r="E7" s="160">
        <v>3653</v>
      </c>
      <c r="F7" s="160">
        <f>E7/13*2</f>
        <v>562</v>
      </c>
      <c r="G7" s="160">
        <f>SUM(D7:F7)</f>
        <v>7868</v>
      </c>
      <c r="H7" s="161"/>
      <c r="I7" s="162"/>
      <c r="J7" s="164"/>
    </row>
    <row r="8" spans="1:10" x14ac:dyDescent="0.2">
      <c r="A8" s="147"/>
      <c r="B8" s="134" t="s">
        <v>8</v>
      </c>
      <c r="C8" s="39" t="s">
        <v>0</v>
      </c>
      <c r="D8" s="165">
        <f>230*13</f>
        <v>2990</v>
      </c>
      <c r="E8" s="165">
        <f>230*13</f>
        <v>2990</v>
      </c>
      <c r="F8" s="165">
        <f>230*2</f>
        <v>460</v>
      </c>
      <c r="G8" s="165">
        <f>SUM(D8:F8)</f>
        <v>6440</v>
      </c>
      <c r="H8" s="157">
        <f>G10+G11</f>
        <v>9009.2799999999988</v>
      </c>
      <c r="I8" s="158">
        <f>(H8)*0.25</f>
        <v>2252.3199999999997</v>
      </c>
      <c r="J8" s="159">
        <f>SUM(H8:I8)</f>
        <v>11261.599999999999</v>
      </c>
    </row>
    <row r="9" spans="1:10" x14ac:dyDescent="0.2">
      <c r="A9" s="147"/>
      <c r="B9" s="135"/>
      <c r="C9" s="40" t="s">
        <v>16</v>
      </c>
      <c r="D9" s="166">
        <f>139.24*13</f>
        <v>1810.1200000000001</v>
      </c>
      <c r="E9" s="166">
        <f>139.24*13</f>
        <v>1810.1200000000001</v>
      </c>
      <c r="F9" s="166">
        <f>139.24*2</f>
        <v>278.48</v>
      </c>
      <c r="G9" s="166">
        <f>SUM(D9:F9)</f>
        <v>3898.7200000000003</v>
      </c>
      <c r="H9" s="161"/>
      <c r="I9" s="162"/>
      <c r="J9" s="163"/>
    </row>
    <row r="10" spans="1:10" x14ac:dyDescent="0.2">
      <c r="A10" s="147"/>
      <c r="B10" s="135"/>
      <c r="C10" s="41" t="s">
        <v>59</v>
      </c>
      <c r="D10" s="166">
        <f t="shared" ref="D10" si="1">D8-D9</f>
        <v>1179.8799999999999</v>
      </c>
      <c r="E10" s="166">
        <f>E8-E9</f>
        <v>1179.8799999999999</v>
      </c>
      <c r="F10" s="166">
        <f xml:space="preserve"> F8-F9</f>
        <v>181.51999999999998</v>
      </c>
      <c r="G10" s="166">
        <f>SUM(D10:F10)</f>
        <v>2541.2799999999997</v>
      </c>
      <c r="H10" s="161"/>
      <c r="I10" s="162"/>
      <c r="J10" s="163"/>
    </row>
    <row r="11" spans="1:10" ht="15" thickBot="1" x14ac:dyDescent="0.25">
      <c r="A11" s="147"/>
      <c r="B11" s="135"/>
      <c r="C11" s="40" t="s">
        <v>1</v>
      </c>
      <c r="D11" s="166">
        <v>3003</v>
      </c>
      <c r="E11" s="166">
        <v>3003</v>
      </c>
      <c r="F11" s="166">
        <f>E11/13*2</f>
        <v>462</v>
      </c>
      <c r="G11" s="166">
        <f>SUM(D11:F11)</f>
        <v>6468</v>
      </c>
      <c r="H11" s="161"/>
      <c r="I11" s="162"/>
      <c r="J11" s="164"/>
    </row>
    <row r="12" spans="1:10" x14ac:dyDescent="0.2">
      <c r="A12" s="147"/>
      <c r="B12" s="136" t="s">
        <v>9</v>
      </c>
      <c r="C12" s="42" t="s">
        <v>0</v>
      </c>
      <c r="D12" s="167">
        <f>230*13</f>
        <v>2990</v>
      </c>
      <c r="E12" s="167">
        <f>230*13</f>
        <v>2990</v>
      </c>
      <c r="F12" s="167">
        <f>230*2</f>
        <v>460</v>
      </c>
      <c r="G12" s="167">
        <f>SUM(D12:F12)</f>
        <v>6440</v>
      </c>
      <c r="H12" s="157">
        <f>G14+G15</f>
        <v>6825.28</v>
      </c>
      <c r="I12" s="158">
        <f>(H12)*0.25</f>
        <v>1706.32</v>
      </c>
      <c r="J12" s="159">
        <f>SUM(H12:I12)</f>
        <v>8531.6</v>
      </c>
    </row>
    <row r="13" spans="1:10" x14ac:dyDescent="0.2">
      <c r="A13" s="147"/>
      <c r="B13" s="137"/>
      <c r="C13" s="43" t="s">
        <v>16</v>
      </c>
      <c r="D13" s="168">
        <f>139.24*13</f>
        <v>1810.1200000000001</v>
      </c>
      <c r="E13" s="168">
        <f>139.24*13</f>
        <v>1810.1200000000001</v>
      </c>
      <c r="F13" s="168">
        <f>139.24*2</f>
        <v>278.48</v>
      </c>
      <c r="G13" s="168">
        <f>SUM(D13:F13)</f>
        <v>3898.7200000000003</v>
      </c>
      <c r="H13" s="161"/>
      <c r="I13" s="162"/>
      <c r="J13" s="163"/>
    </row>
    <row r="14" spans="1:10" x14ac:dyDescent="0.2">
      <c r="A14" s="147"/>
      <c r="B14" s="137"/>
      <c r="C14" s="44" t="s">
        <v>59</v>
      </c>
      <c r="D14" s="168">
        <f t="shared" ref="D14:F14" si="2">D12-D13</f>
        <v>1179.8799999999999</v>
      </c>
      <c r="E14" s="168">
        <f t="shared" si="2"/>
        <v>1179.8799999999999</v>
      </c>
      <c r="F14" s="168">
        <f t="shared" si="2"/>
        <v>181.51999999999998</v>
      </c>
      <c r="G14" s="168">
        <f>SUM(D14:F14)</f>
        <v>2541.2799999999997</v>
      </c>
      <c r="H14" s="161"/>
      <c r="I14" s="162"/>
      <c r="J14" s="163"/>
    </row>
    <row r="15" spans="1:10" ht="15" thickBot="1" x14ac:dyDescent="0.25">
      <c r="A15" s="147"/>
      <c r="B15" s="137"/>
      <c r="C15" s="43" t="s">
        <v>1</v>
      </c>
      <c r="D15" s="168">
        <v>1989</v>
      </c>
      <c r="E15" s="168">
        <v>1989</v>
      </c>
      <c r="F15" s="168">
        <f>E15/13*2</f>
        <v>306</v>
      </c>
      <c r="G15" s="168">
        <f>SUM(D15:F15)</f>
        <v>4284</v>
      </c>
      <c r="H15" s="161"/>
      <c r="I15" s="162"/>
      <c r="J15" s="164"/>
    </row>
    <row r="16" spans="1:10" x14ac:dyDescent="0.2">
      <c r="A16" s="148" t="s">
        <v>11</v>
      </c>
      <c r="B16" s="126" t="s">
        <v>12</v>
      </c>
      <c r="C16" s="45" t="s">
        <v>0</v>
      </c>
      <c r="D16" s="169">
        <f>230*13</f>
        <v>2990</v>
      </c>
      <c r="E16" s="169">
        <f>230*13</f>
        <v>2990</v>
      </c>
      <c r="F16" s="169">
        <f>230*2</f>
        <v>460</v>
      </c>
      <c r="G16" s="169">
        <f>SUM(D16:F16)</f>
        <v>6440</v>
      </c>
      <c r="H16" s="157">
        <f>G18+G19</f>
        <v>5621.28</v>
      </c>
      <c r="I16" s="158">
        <f>(H16)*0.25</f>
        <v>1405.32</v>
      </c>
      <c r="J16" s="159">
        <f>SUM(H16:I16)</f>
        <v>7026.5999999999995</v>
      </c>
    </row>
    <row r="17" spans="1:13" x14ac:dyDescent="0.2">
      <c r="A17" s="149"/>
      <c r="B17" s="127"/>
      <c r="C17" s="46" t="s">
        <v>16</v>
      </c>
      <c r="D17" s="170">
        <f>139.24*13</f>
        <v>1810.1200000000001</v>
      </c>
      <c r="E17" s="170">
        <f>139.24*13</f>
        <v>1810.1200000000001</v>
      </c>
      <c r="F17" s="170">
        <f>139.24*2</f>
        <v>278.48</v>
      </c>
      <c r="G17" s="170">
        <f>SUM(D17:F17)</f>
        <v>3898.7200000000003</v>
      </c>
      <c r="H17" s="161"/>
      <c r="I17" s="162"/>
      <c r="J17" s="163"/>
      <c r="M17" s="32" t="s">
        <v>78</v>
      </c>
    </row>
    <row r="18" spans="1:13" x14ac:dyDescent="0.2">
      <c r="A18" s="149"/>
      <c r="B18" s="127"/>
      <c r="C18" s="47" t="s">
        <v>59</v>
      </c>
      <c r="D18" s="170">
        <f t="shared" ref="D18:F18" si="3">D16-D17</f>
        <v>1179.8799999999999</v>
      </c>
      <c r="E18" s="170">
        <f>E16-E17</f>
        <v>1179.8799999999999</v>
      </c>
      <c r="F18" s="170">
        <f t="shared" si="3"/>
        <v>181.51999999999998</v>
      </c>
      <c r="G18" s="170">
        <f>SUM(D18:F18)</f>
        <v>2541.2799999999997</v>
      </c>
      <c r="H18" s="161"/>
      <c r="I18" s="162"/>
      <c r="J18" s="163"/>
    </row>
    <row r="19" spans="1:13" ht="15" thickBot="1" x14ac:dyDescent="0.25">
      <c r="A19" s="149"/>
      <c r="B19" s="127"/>
      <c r="C19" s="46" t="s">
        <v>1</v>
      </c>
      <c r="D19" s="170">
        <v>1430</v>
      </c>
      <c r="E19" s="170">
        <v>1430</v>
      </c>
      <c r="F19" s="170">
        <f>E19/13*2</f>
        <v>220</v>
      </c>
      <c r="G19" s="170">
        <f>SUM(D19:F19)</f>
        <v>3080</v>
      </c>
      <c r="H19" s="161"/>
      <c r="I19" s="162"/>
      <c r="J19" s="164"/>
    </row>
    <row r="20" spans="1:13" x14ac:dyDescent="0.2">
      <c r="A20" s="149"/>
      <c r="B20" s="128" t="s">
        <v>13</v>
      </c>
      <c r="C20" s="48" t="s">
        <v>0</v>
      </c>
      <c r="D20" s="171">
        <f>230*13</f>
        <v>2990</v>
      </c>
      <c r="E20" s="171">
        <f>230*13</f>
        <v>2990</v>
      </c>
      <c r="F20" s="171">
        <f>230*2</f>
        <v>460</v>
      </c>
      <c r="G20" s="171">
        <f>SUM(D20:F20)</f>
        <v>6440</v>
      </c>
      <c r="H20" s="157">
        <f>G22+G23</f>
        <v>4109.28</v>
      </c>
      <c r="I20" s="158">
        <f>(H20)*0.25</f>
        <v>1027.32</v>
      </c>
      <c r="J20" s="159">
        <f>SUM(H20:I20)</f>
        <v>5136.5999999999995</v>
      </c>
    </row>
    <row r="21" spans="1:13" x14ac:dyDescent="0.2">
      <c r="A21" s="149"/>
      <c r="B21" s="129"/>
      <c r="C21" s="49" t="s">
        <v>16</v>
      </c>
      <c r="D21" s="172">
        <f>139.24*13</f>
        <v>1810.1200000000001</v>
      </c>
      <c r="E21" s="172">
        <f>139.24*13</f>
        <v>1810.1200000000001</v>
      </c>
      <c r="F21" s="172">
        <f>139.24*2</f>
        <v>278.48</v>
      </c>
      <c r="G21" s="172">
        <f>SUM(D21:F21)</f>
        <v>3898.7200000000003</v>
      </c>
      <c r="H21" s="161"/>
      <c r="I21" s="162"/>
      <c r="J21" s="163"/>
    </row>
    <row r="22" spans="1:13" x14ac:dyDescent="0.2">
      <c r="A22" s="149"/>
      <c r="B22" s="129"/>
      <c r="C22" s="50" t="s">
        <v>59</v>
      </c>
      <c r="D22" s="172">
        <f t="shared" ref="D22:G22" si="4">D20-D21</f>
        <v>1179.8799999999999</v>
      </c>
      <c r="E22" s="172">
        <f t="shared" si="4"/>
        <v>1179.8799999999999</v>
      </c>
      <c r="F22" s="172">
        <f t="shared" si="4"/>
        <v>181.51999999999998</v>
      </c>
      <c r="G22" s="172">
        <f>SUM(D22:F22)</f>
        <v>2541.2799999999997</v>
      </c>
      <c r="H22" s="161"/>
      <c r="I22" s="162"/>
      <c r="J22" s="163"/>
    </row>
    <row r="23" spans="1:13" ht="15" thickBot="1" x14ac:dyDescent="0.25">
      <c r="A23" s="149"/>
      <c r="B23" s="129"/>
      <c r="C23" s="49" t="s">
        <v>1</v>
      </c>
      <c r="D23" s="172">
        <v>728</v>
      </c>
      <c r="E23" s="172">
        <v>728</v>
      </c>
      <c r="F23" s="172">
        <f>E23/13*2</f>
        <v>112</v>
      </c>
      <c r="G23" s="172">
        <f>SUM(D23:F23)</f>
        <v>1568</v>
      </c>
      <c r="H23" s="161"/>
      <c r="I23" s="162"/>
      <c r="J23" s="164"/>
    </row>
    <row r="24" spans="1:13" x14ac:dyDescent="0.2">
      <c r="A24" s="144" t="s">
        <v>14</v>
      </c>
      <c r="B24" s="130" t="s">
        <v>15</v>
      </c>
      <c r="C24" s="51" t="s">
        <v>0</v>
      </c>
      <c r="D24" s="173">
        <f>184*13</f>
        <v>2392</v>
      </c>
      <c r="E24" s="173">
        <f>184*13</f>
        <v>2392</v>
      </c>
      <c r="F24" s="173">
        <f>184*2</f>
        <v>368</v>
      </c>
      <c r="G24" s="173">
        <f>SUM(D24:F24)</f>
        <v>5152</v>
      </c>
      <c r="H24" s="157">
        <f>G26+G27</f>
        <v>3516.24</v>
      </c>
      <c r="I24" s="158">
        <f>H24*0.25</f>
        <v>879.06</v>
      </c>
      <c r="J24" s="159">
        <f>SUM(H24:I24)</f>
        <v>4395.2999999999993</v>
      </c>
    </row>
    <row r="25" spans="1:13" x14ac:dyDescent="0.2">
      <c r="A25" s="145"/>
      <c r="B25" s="131"/>
      <c r="C25" s="52" t="s">
        <v>16</v>
      </c>
      <c r="D25" s="174">
        <f>111.42*13</f>
        <v>1448.46</v>
      </c>
      <c r="E25" s="174">
        <f>111.42*13</f>
        <v>1448.46</v>
      </c>
      <c r="F25" s="174">
        <f>111.42*2</f>
        <v>222.84</v>
      </c>
      <c r="G25" s="174">
        <f>SUM(D25:F25)</f>
        <v>3119.76</v>
      </c>
      <c r="H25" s="161"/>
      <c r="I25" s="162"/>
      <c r="J25" s="163"/>
    </row>
    <row r="26" spans="1:13" x14ac:dyDescent="0.2">
      <c r="A26" s="145"/>
      <c r="B26" s="131"/>
      <c r="C26" s="53" t="s">
        <v>59</v>
      </c>
      <c r="D26" s="174">
        <f t="shared" ref="D26:F26" si="5">D24-D25</f>
        <v>943.54</v>
      </c>
      <c r="E26" s="174">
        <f t="shared" si="5"/>
        <v>943.54</v>
      </c>
      <c r="F26" s="174">
        <f t="shared" si="5"/>
        <v>145.16</v>
      </c>
      <c r="G26" s="174">
        <f>SUM(D26:F26)</f>
        <v>2032.24</v>
      </c>
      <c r="H26" s="161"/>
      <c r="I26" s="162"/>
      <c r="J26" s="163"/>
    </row>
    <row r="27" spans="1:13" x14ac:dyDescent="0.2">
      <c r="A27" s="145"/>
      <c r="B27" s="131"/>
      <c r="C27" s="52" t="s">
        <v>1</v>
      </c>
      <c r="D27" s="174">
        <v>689</v>
      </c>
      <c r="E27" s="174">
        <v>689</v>
      </c>
      <c r="F27" s="174">
        <f>E27/13*2</f>
        <v>106</v>
      </c>
      <c r="G27" s="174">
        <f>SUM(D27:F27)</f>
        <v>1484</v>
      </c>
      <c r="H27" s="161"/>
      <c r="I27" s="162"/>
      <c r="J27" s="163"/>
    </row>
    <row r="29" spans="1:13" ht="15" thickBot="1" x14ac:dyDescent="0.25">
      <c r="B29" s="54" t="s">
        <v>79</v>
      </c>
    </row>
    <row r="30" spans="1:13" ht="36" customHeight="1" thickBot="1" x14ac:dyDescent="0.25">
      <c r="B30" s="138" t="s">
        <v>90</v>
      </c>
      <c r="C30" s="139"/>
      <c r="D30" s="139"/>
      <c r="E30" s="139"/>
      <c r="F30" s="139"/>
      <c r="G30" s="139"/>
      <c r="H30" s="139"/>
      <c r="I30" s="139"/>
      <c r="J30" s="140"/>
    </row>
    <row r="32" spans="1:13" ht="15" thickBot="1" x14ac:dyDescent="0.25">
      <c r="B32" s="54" t="s">
        <v>76</v>
      </c>
    </row>
    <row r="33" spans="1:11" ht="90.6" customHeight="1" thickBot="1" x14ac:dyDescent="0.25">
      <c r="B33" s="123" t="s">
        <v>91</v>
      </c>
      <c r="C33" s="124"/>
      <c r="D33" s="124"/>
      <c r="E33" s="124"/>
      <c r="F33" s="124"/>
      <c r="G33" s="124"/>
      <c r="H33" s="124"/>
      <c r="I33" s="124"/>
      <c r="J33" s="125"/>
    </row>
    <row r="35" spans="1:11" ht="16.5" thickBot="1" x14ac:dyDescent="0.3">
      <c r="A35" s="56"/>
      <c r="B35" s="122" t="s">
        <v>87</v>
      </c>
      <c r="C35" s="122"/>
      <c r="D35" s="56"/>
      <c r="E35" s="56"/>
      <c r="F35" s="56"/>
      <c r="G35" s="56"/>
      <c r="H35" s="56"/>
      <c r="I35" s="56"/>
      <c r="J35" s="56"/>
      <c r="K35" s="56"/>
    </row>
    <row r="36" spans="1:11" ht="126.75" customHeight="1" thickBot="1" x14ac:dyDescent="0.3">
      <c r="A36" s="56"/>
      <c r="B36" s="119" t="s">
        <v>89</v>
      </c>
      <c r="C36" s="120"/>
      <c r="D36" s="120"/>
      <c r="E36" s="120"/>
      <c r="F36" s="120"/>
      <c r="G36" s="120"/>
      <c r="H36" s="120"/>
      <c r="I36" s="120"/>
      <c r="J36" s="121"/>
      <c r="K36" s="56"/>
    </row>
  </sheetData>
  <sheetProtection algorithmName="SHA-512" hashValue="gmYWF2ot/5/UjymXfBp1S0Fi/QuOQLzViusWzs9ZQdWyMWWUwfYhbwNFQ1uRjWFDdbSPO8HbPL93humpWpvYfA==" saltValue="lHaBzKRi1WV+Oevf8SnbTg==" spinCount="100000" sheet="1" objects="1" scenarios="1"/>
  <mergeCells count="32">
    <mergeCell ref="A2:J2"/>
    <mergeCell ref="A24:A27"/>
    <mergeCell ref="J16:J19"/>
    <mergeCell ref="A4:A15"/>
    <mergeCell ref="H4:H7"/>
    <mergeCell ref="I4:I7"/>
    <mergeCell ref="H8:H11"/>
    <mergeCell ref="I8:I11"/>
    <mergeCell ref="H12:H15"/>
    <mergeCell ref="I12:I15"/>
    <mergeCell ref="H16:H19"/>
    <mergeCell ref="H24:H27"/>
    <mergeCell ref="I24:I27"/>
    <mergeCell ref="A16:A23"/>
    <mergeCell ref="J20:J23"/>
    <mergeCell ref="I16:I19"/>
    <mergeCell ref="B36:J36"/>
    <mergeCell ref="B35:C35"/>
    <mergeCell ref="B33:J33"/>
    <mergeCell ref="J12:J15"/>
    <mergeCell ref="J4:J7"/>
    <mergeCell ref="J8:J11"/>
    <mergeCell ref="B16:B19"/>
    <mergeCell ref="B20:B23"/>
    <mergeCell ref="B24:B27"/>
    <mergeCell ref="B4:B7"/>
    <mergeCell ref="B8:B11"/>
    <mergeCell ref="B12:B15"/>
    <mergeCell ref="J24:J27"/>
    <mergeCell ref="B30:J30"/>
    <mergeCell ref="H20:H23"/>
    <mergeCell ref="I20:I23"/>
  </mergeCells>
  <pageMargins left="0.7" right="0.7" top="0.75" bottom="0.75" header="0.3" footer="0.3"/>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workbookViewId="0">
      <selection activeCell="E5" sqref="E5"/>
    </sheetView>
  </sheetViews>
  <sheetFormatPr defaultColWidth="8.85546875" defaultRowHeight="14.25" x14ac:dyDescent="0.2"/>
  <cols>
    <col min="1" max="1" width="48.85546875" style="57" customWidth="1"/>
    <col min="2" max="2" width="18.28515625" style="57" bestFit="1" customWidth="1"/>
    <col min="3" max="3" width="14.85546875" style="57" bestFit="1" customWidth="1"/>
    <col min="4" max="4" width="11.5703125" style="32" hidden="1" customWidth="1"/>
    <col min="5" max="5" width="12.140625" style="32" bestFit="1" customWidth="1"/>
    <col min="6" max="16384" width="8.85546875" style="32"/>
  </cols>
  <sheetData>
    <row r="1" spans="1:8" ht="151.9" customHeight="1" x14ac:dyDescent="0.2"/>
    <row r="2" spans="1:8" ht="15.75" x14ac:dyDescent="0.2">
      <c r="A2" s="150" t="s">
        <v>83</v>
      </c>
      <c r="B2" s="150"/>
      <c r="C2" s="150"/>
      <c r="D2" s="150"/>
      <c r="E2" s="150"/>
    </row>
    <row r="3" spans="1:8" s="33" customFormat="1" ht="63.75" thickBot="1" x14ac:dyDescent="0.25">
      <c r="A3" s="58" t="s">
        <v>29</v>
      </c>
      <c r="B3" s="59" t="s">
        <v>53</v>
      </c>
      <c r="C3" s="60" t="s">
        <v>34</v>
      </c>
      <c r="D3" s="60" t="s">
        <v>35</v>
      </c>
      <c r="E3" s="61" t="s">
        <v>17</v>
      </c>
    </row>
    <row r="4" spans="1:8" ht="15.75" x14ac:dyDescent="0.2">
      <c r="A4" s="62" t="s">
        <v>88</v>
      </c>
      <c r="B4" s="63" t="s">
        <v>50</v>
      </c>
      <c r="C4" s="64">
        <f>IF(B4=legenda!A5,legenda!C5,IF(B4=legenda!A6,legenda!C6,IF(B4=legenda!A7,legenda!C7,0)))</f>
        <v>50005.77</v>
      </c>
      <c r="D4" s="64">
        <f>IF(B4=legenda!A5,legenda!B5,IF(B4=legenda!A6,legenda!B6,IF(B4=legenda!A7,legenda!B7,0)))</f>
        <v>46159.172307692301</v>
      </c>
      <c r="E4" s="65">
        <f>C4/13</f>
        <v>3846.5976923076919</v>
      </c>
    </row>
    <row r="5" spans="1:8" ht="15.75" x14ac:dyDescent="0.2">
      <c r="A5" s="66" t="s">
        <v>77</v>
      </c>
      <c r="B5" s="67"/>
      <c r="C5" s="68">
        <f>(C4*1%)</f>
        <v>500.05769999999995</v>
      </c>
      <c r="D5" s="68">
        <f t="shared" ref="D5" si="0">D4*0.7%</f>
        <v>323.11420615384606</v>
      </c>
      <c r="E5" s="69">
        <f>C5/13</f>
        <v>38.465976923076923</v>
      </c>
    </row>
    <row r="6" spans="1:8" ht="16.5" thickBot="1" x14ac:dyDescent="0.25">
      <c r="A6" s="70" t="s">
        <v>18</v>
      </c>
      <c r="B6" s="71"/>
      <c r="C6" s="72">
        <f>SUM(C4:C5)</f>
        <v>50505.827699999994</v>
      </c>
      <c r="D6" s="72">
        <f>SUM(D4:D5)</f>
        <v>46482.286513846149</v>
      </c>
      <c r="E6" s="73">
        <f>SUM(E4:E5)</f>
        <v>3885.0636692307689</v>
      </c>
    </row>
    <row r="7" spans="1:8" ht="15.75" x14ac:dyDescent="0.2">
      <c r="A7" s="74" t="s">
        <v>63</v>
      </c>
      <c r="B7" s="63" t="s">
        <v>45</v>
      </c>
      <c r="C7" s="75">
        <f>IF($B$7=legenda!A12,legenda!C12,IF($B$7=legenda!A13,legenda!C13,IF($B$7=legenda!A14,legenda!C14,IF($B$7=legenda!A15,legenda!C15,IF($B$7=legenda!A16,legenda!C16,IF(B7=legenda!A17,legenda!C17,0))))))</f>
        <v>25507</v>
      </c>
      <c r="D7" s="75">
        <f>IF($B$7=legenda!A12,legenda!B12,IF($B$7=legenda!A13,legenda!B13,IF($B$7=legenda!A14,legenda!B14,IF($B$7=legenda!A15,legenda!B15,IF($B$7=legenda!A16,legenda!B16,IF(B7=legenda!A17,legenda!B17,0))))))</f>
        <v>23544.923076923078</v>
      </c>
      <c r="E7" s="76"/>
    </row>
    <row r="8" spans="1:8" ht="15.75" hidden="1" x14ac:dyDescent="0.2">
      <c r="A8" s="77" t="s">
        <v>62</v>
      </c>
      <c r="B8" s="78"/>
      <c r="C8" s="79">
        <f>VLOOKUP(B7,legenda!$A$22:$C$27,3,0)</f>
        <v>37901.97</v>
      </c>
      <c r="D8" s="79" t="e">
        <f>#REF!/13*12</f>
        <v>#REF!</v>
      </c>
      <c r="E8" s="80"/>
    </row>
    <row r="9" spans="1:8" ht="15.75" x14ac:dyDescent="0.2">
      <c r="A9" s="77" t="s">
        <v>64</v>
      </c>
      <c r="B9" s="81" t="str">
        <f>IF(C9&gt;C8,"ERRORE","")</f>
        <v/>
      </c>
      <c r="C9" s="82">
        <v>32000</v>
      </c>
      <c r="D9" s="79">
        <f>C9/13*12</f>
        <v>29538.461538461539</v>
      </c>
      <c r="E9" s="80"/>
    </row>
    <row r="10" spans="1:8" ht="31.5" x14ac:dyDescent="0.2">
      <c r="A10" s="77" t="s">
        <v>65</v>
      </c>
      <c r="B10" s="83"/>
      <c r="C10" s="82">
        <v>45000</v>
      </c>
      <c r="D10" s="79">
        <f>C10/13*12</f>
        <v>41538.461538461539</v>
      </c>
      <c r="E10" s="80"/>
      <c r="H10" s="84"/>
    </row>
    <row r="11" spans="1:8" ht="15.75" hidden="1" x14ac:dyDescent="0.25">
      <c r="A11" s="85" t="s">
        <v>30</v>
      </c>
      <c r="B11" s="86"/>
      <c r="C11" s="87" t="str">
        <f>IF(C10&gt;C9,"SI","NO")</f>
        <v>SI</v>
      </c>
      <c r="D11" s="87" t="e">
        <f>IF(D10&gt;#REF!,"SI","NO")</f>
        <v>#REF!</v>
      </c>
      <c r="E11" s="80"/>
    </row>
    <row r="12" spans="1:8" ht="15.75" hidden="1" x14ac:dyDescent="0.2">
      <c r="A12" s="88" t="s">
        <v>61</v>
      </c>
      <c r="B12" s="78"/>
      <c r="C12" s="79">
        <f>IF(C11="SI",C10-C9,0)</f>
        <v>13000</v>
      </c>
      <c r="D12" s="89">
        <f>C12/13*12</f>
        <v>12000</v>
      </c>
      <c r="E12" s="80">
        <f t="shared" ref="E12" si="1">D12/13</f>
        <v>923.07692307692309</v>
      </c>
    </row>
    <row r="13" spans="1:8" ht="16.5" thickBot="1" x14ac:dyDescent="0.25">
      <c r="A13" s="90" t="s">
        <v>60</v>
      </c>
      <c r="B13" s="91"/>
      <c r="C13" s="92">
        <f>C9+C12</f>
        <v>45000</v>
      </c>
      <c r="D13" s="92" t="e">
        <f>#REF!+D12</f>
        <v>#REF!</v>
      </c>
      <c r="E13" s="93">
        <f>C13/13</f>
        <v>3461.5384615384614</v>
      </c>
    </row>
    <row r="14" spans="1:8" ht="32.25" thickBot="1" x14ac:dyDescent="0.3">
      <c r="A14" s="94" t="s">
        <v>66</v>
      </c>
      <c r="B14" s="95" t="s">
        <v>31</v>
      </c>
      <c r="C14" s="96">
        <f>IF(B14="NO",0,(C13+C6)*25%)</f>
        <v>23876.456924999999</v>
      </c>
      <c r="D14" s="96">
        <f>C14/13*12</f>
        <v>22039.806392307692</v>
      </c>
      <c r="E14" s="97">
        <f>C14/13</f>
        <v>1836.6505326923075</v>
      </c>
    </row>
    <row r="15" spans="1:8" ht="13.9" customHeight="1" thickBot="1" x14ac:dyDescent="0.25">
      <c r="A15" s="98" t="s">
        <v>38</v>
      </c>
      <c r="B15" s="99"/>
      <c r="C15" s="100">
        <f>C6+C13+C14</f>
        <v>119382.284625</v>
      </c>
      <c r="D15" s="100" t="e">
        <f>D6+D13+D14</f>
        <v>#REF!</v>
      </c>
      <c r="E15" s="101">
        <f>E6+E13+E14</f>
        <v>9183.2526634615369</v>
      </c>
    </row>
  </sheetData>
  <sheetProtection algorithmName="SHA-512" hashValue="t7NzV1CysWNfYTFQRosu59zz/ihTmbD7OLzNNXgl2yKfO0WA6fKYYlVb3T/dOwItGL8HvoLHnPeLVGzsvJFa6g==" saltValue="XZexeYrj/zOQL0Xxfw72wA==" spinCount="100000" sheet="1" objects="1" scenarios="1"/>
  <mergeCells count="1">
    <mergeCell ref="A2:E2"/>
  </mergeCells>
  <dataValidations xWindow="268" yWindow="417" count="3">
    <dataValidation allowBlank="1" showInputMessage="1" showErrorMessage="1" prompt="Tipologia incarico" sqref="B11" xr:uid="{00000000-0002-0000-0100-000001000000}"/>
    <dataValidation allowBlank="1" showInputMessage="1" showErrorMessage="1" prompt="Inserire la retribuzione di posizione dirigenziale/organizzativa più elevata nell'ente di appartenenza" sqref="C10" xr:uid="{00000000-0002-0000-0100-000002000000}"/>
    <dataValidation allowBlank="1" showInputMessage="1" showErrorMessage="1" prompt="Indicare la percentuale da applicare sulla retribuzione di posizione ex CCNL 2001" sqref="C8" xr:uid="{00000000-0002-0000-0100-000000000000}"/>
  </dataValidations>
  <pageMargins left="0.7" right="0.7" top="0.75" bottom="0.75" header="0.3" footer="0.3"/>
  <pageSetup scale="95" orientation="portrait" r:id="rId1"/>
  <drawing r:id="rId2"/>
  <extLst>
    <ext xmlns:x14="http://schemas.microsoft.com/office/spreadsheetml/2009/9/main" uri="{CCE6A557-97BC-4b89-ADB6-D9C93CAAB3DF}">
      <x14:dataValidations xmlns:xm="http://schemas.microsoft.com/office/excel/2006/main" xWindow="268" yWindow="417" count="3">
        <x14:dataValidation type="list" allowBlank="1" showInputMessage="1" showErrorMessage="1" prompt="Indicare la fascia professionale di appartenza dal menù a tendina_x000a_" xr:uid="{00000000-0002-0000-0100-000004000000}">
          <x14:formula1>
            <xm:f>legenda!$A$5:$A$7</xm:f>
          </x14:formula1>
          <xm:sqref>B4</xm:sqref>
        </x14:dataValidation>
        <x14:dataValidation type="list" allowBlank="1" showInputMessage="1" showErrorMessage="1" prompt="Indicare la classe dell'ente di titolarità scegliendo dal menù a tendina_x000a_" xr:uid="{00000000-0002-0000-0100-000005000000}">
          <x14:formula1>
            <xm:f>legenda!$A$12:$A$17</xm:f>
          </x14:formula1>
          <xm:sqref>B7</xm:sqref>
        </x14:dataValidation>
        <x14:dataValidation type="list" allowBlank="1" showInputMessage="1" showErrorMessage="1" prompt="Indicare SI se la sede è convenzionata; NO in caso contrario" xr:uid="{00000000-0002-0000-0100-000006000000}">
          <x14:formula1>
            <xm:f>legenda!$A$30:$A$31</xm:f>
          </x14:formula1>
          <xm:sqref>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D5B7-D524-485C-82D8-850AF4777526}">
  <dimension ref="A1:C16"/>
  <sheetViews>
    <sheetView workbookViewId="0">
      <selection activeCell="B8" sqref="B8"/>
    </sheetView>
  </sheetViews>
  <sheetFormatPr defaultRowHeight="15.75" x14ac:dyDescent="0.25"/>
  <cols>
    <col min="1" max="1" width="54.42578125" style="102" bestFit="1" customWidth="1"/>
    <col min="2" max="2" width="19.28515625" style="102" customWidth="1"/>
    <col min="3" max="255" width="8.85546875" style="102"/>
    <col min="256" max="256" width="56.7109375" style="102" bestFit="1" customWidth="1"/>
    <col min="257" max="257" width="12.42578125" style="102" customWidth="1"/>
    <col min="258" max="511" width="8.85546875" style="102"/>
    <col min="512" max="512" width="56.7109375" style="102" bestFit="1" customWidth="1"/>
    <col min="513" max="513" width="12.42578125" style="102" customWidth="1"/>
    <col min="514" max="767" width="8.85546875" style="102"/>
    <col min="768" max="768" width="56.7109375" style="102" bestFit="1" customWidth="1"/>
    <col min="769" max="769" width="12.42578125" style="102" customWidth="1"/>
    <col min="770" max="1023" width="8.85546875" style="102"/>
    <col min="1024" max="1024" width="56.7109375" style="102" bestFit="1" customWidth="1"/>
    <col min="1025" max="1025" width="12.42578125" style="102" customWidth="1"/>
    <col min="1026" max="1279" width="8.85546875" style="102"/>
    <col min="1280" max="1280" width="56.7109375" style="102" bestFit="1" customWidth="1"/>
    <col min="1281" max="1281" width="12.42578125" style="102" customWidth="1"/>
    <col min="1282" max="1535" width="8.85546875" style="102"/>
    <col min="1536" max="1536" width="56.7109375" style="102" bestFit="1" customWidth="1"/>
    <col min="1537" max="1537" width="12.42578125" style="102" customWidth="1"/>
    <col min="1538" max="1791" width="8.85546875" style="102"/>
    <col min="1792" max="1792" width="56.7109375" style="102" bestFit="1" customWidth="1"/>
    <col min="1793" max="1793" width="12.42578125" style="102" customWidth="1"/>
    <col min="1794" max="2047" width="8.85546875" style="102"/>
    <col min="2048" max="2048" width="56.7109375" style="102" bestFit="1" customWidth="1"/>
    <col min="2049" max="2049" width="12.42578125" style="102" customWidth="1"/>
    <col min="2050" max="2303" width="8.85546875" style="102"/>
    <col min="2304" max="2304" width="56.7109375" style="102" bestFit="1" customWidth="1"/>
    <col min="2305" max="2305" width="12.42578125" style="102" customWidth="1"/>
    <col min="2306" max="2559" width="8.85546875" style="102"/>
    <col min="2560" max="2560" width="56.7109375" style="102" bestFit="1" customWidth="1"/>
    <col min="2561" max="2561" width="12.42578125" style="102" customWidth="1"/>
    <col min="2562" max="2815" width="8.85546875" style="102"/>
    <col min="2816" max="2816" width="56.7109375" style="102" bestFit="1" customWidth="1"/>
    <col min="2817" max="2817" width="12.42578125" style="102" customWidth="1"/>
    <col min="2818" max="3071" width="8.85546875" style="102"/>
    <col min="3072" max="3072" width="56.7109375" style="102" bestFit="1" customWidth="1"/>
    <col min="3073" max="3073" width="12.42578125" style="102" customWidth="1"/>
    <col min="3074" max="3327" width="8.85546875" style="102"/>
    <col min="3328" max="3328" width="56.7109375" style="102" bestFit="1" customWidth="1"/>
    <col min="3329" max="3329" width="12.42578125" style="102" customWidth="1"/>
    <col min="3330" max="3583" width="8.85546875" style="102"/>
    <col min="3584" max="3584" width="56.7109375" style="102" bestFit="1" customWidth="1"/>
    <col min="3585" max="3585" width="12.42578125" style="102" customWidth="1"/>
    <col min="3586" max="3839" width="8.85546875" style="102"/>
    <col min="3840" max="3840" width="56.7109375" style="102" bestFit="1" customWidth="1"/>
    <col min="3841" max="3841" width="12.42578125" style="102" customWidth="1"/>
    <col min="3842" max="4095" width="8.85546875" style="102"/>
    <col min="4096" max="4096" width="56.7109375" style="102" bestFit="1" customWidth="1"/>
    <col min="4097" max="4097" width="12.42578125" style="102" customWidth="1"/>
    <col min="4098" max="4351" width="8.85546875" style="102"/>
    <col min="4352" max="4352" width="56.7109375" style="102" bestFit="1" customWidth="1"/>
    <col min="4353" max="4353" width="12.42578125" style="102" customWidth="1"/>
    <col min="4354" max="4607" width="8.85546875" style="102"/>
    <col min="4608" max="4608" width="56.7109375" style="102" bestFit="1" customWidth="1"/>
    <col min="4609" max="4609" width="12.42578125" style="102" customWidth="1"/>
    <col min="4610" max="4863" width="8.85546875" style="102"/>
    <col min="4864" max="4864" width="56.7109375" style="102" bestFit="1" customWidth="1"/>
    <col min="4865" max="4865" width="12.42578125" style="102" customWidth="1"/>
    <col min="4866" max="5119" width="8.85546875" style="102"/>
    <col min="5120" max="5120" width="56.7109375" style="102" bestFit="1" customWidth="1"/>
    <col min="5121" max="5121" width="12.42578125" style="102" customWidth="1"/>
    <col min="5122" max="5375" width="8.85546875" style="102"/>
    <col min="5376" max="5376" width="56.7109375" style="102" bestFit="1" customWidth="1"/>
    <col min="5377" max="5377" width="12.42578125" style="102" customWidth="1"/>
    <col min="5378" max="5631" width="8.85546875" style="102"/>
    <col min="5632" max="5632" width="56.7109375" style="102" bestFit="1" customWidth="1"/>
    <col min="5633" max="5633" width="12.42578125" style="102" customWidth="1"/>
    <col min="5634" max="5887" width="8.85546875" style="102"/>
    <col min="5888" max="5888" width="56.7109375" style="102" bestFit="1" customWidth="1"/>
    <col min="5889" max="5889" width="12.42578125" style="102" customWidth="1"/>
    <col min="5890" max="6143" width="8.85546875" style="102"/>
    <col min="6144" max="6144" width="56.7109375" style="102" bestFit="1" customWidth="1"/>
    <col min="6145" max="6145" width="12.42578125" style="102" customWidth="1"/>
    <col min="6146" max="6399" width="8.85546875" style="102"/>
    <col min="6400" max="6400" width="56.7109375" style="102" bestFit="1" customWidth="1"/>
    <col min="6401" max="6401" width="12.42578125" style="102" customWidth="1"/>
    <col min="6402" max="6655" width="8.85546875" style="102"/>
    <col min="6656" max="6656" width="56.7109375" style="102" bestFit="1" customWidth="1"/>
    <col min="6657" max="6657" width="12.42578125" style="102" customWidth="1"/>
    <col min="6658" max="6911" width="8.85546875" style="102"/>
    <col min="6912" max="6912" width="56.7109375" style="102" bestFit="1" customWidth="1"/>
    <col min="6913" max="6913" width="12.42578125" style="102" customWidth="1"/>
    <col min="6914" max="7167" width="8.85546875" style="102"/>
    <col min="7168" max="7168" width="56.7109375" style="102" bestFit="1" customWidth="1"/>
    <col min="7169" max="7169" width="12.42578125" style="102" customWidth="1"/>
    <col min="7170" max="7423" width="8.85546875" style="102"/>
    <col min="7424" max="7424" width="56.7109375" style="102" bestFit="1" customWidth="1"/>
    <col min="7425" max="7425" width="12.42578125" style="102" customWidth="1"/>
    <col min="7426" max="7679" width="8.85546875" style="102"/>
    <col min="7680" max="7680" width="56.7109375" style="102" bestFit="1" customWidth="1"/>
    <col min="7681" max="7681" width="12.42578125" style="102" customWidth="1"/>
    <col min="7682" max="7935" width="8.85546875" style="102"/>
    <col min="7936" max="7936" width="56.7109375" style="102" bestFit="1" customWidth="1"/>
    <col min="7937" max="7937" width="12.42578125" style="102" customWidth="1"/>
    <col min="7938" max="8191" width="8.85546875" style="102"/>
    <col min="8192" max="8192" width="56.7109375" style="102" bestFit="1" customWidth="1"/>
    <col min="8193" max="8193" width="12.42578125" style="102" customWidth="1"/>
    <col min="8194" max="8447" width="8.85546875" style="102"/>
    <col min="8448" max="8448" width="56.7109375" style="102" bestFit="1" customWidth="1"/>
    <col min="8449" max="8449" width="12.42578125" style="102" customWidth="1"/>
    <col min="8450" max="8703" width="8.85546875" style="102"/>
    <col min="8704" max="8704" width="56.7109375" style="102" bestFit="1" customWidth="1"/>
    <col min="8705" max="8705" width="12.42578125" style="102" customWidth="1"/>
    <col min="8706" max="8959" width="8.85546875" style="102"/>
    <col min="8960" max="8960" width="56.7109375" style="102" bestFit="1" customWidth="1"/>
    <col min="8961" max="8961" width="12.42578125" style="102" customWidth="1"/>
    <col min="8962" max="9215" width="8.85546875" style="102"/>
    <col min="9216" max="9216" width="56.7109375" style="102" bestFit="1" customWidth="1"/>
    <col min="9217" max="9217" width="12.42578125" style="102" customWidth="1"/>
    <col min="9218" max="9471" width="8.85546875" style="102"/>
    <col min="9472" max="9472" width="56.7109375" style="102" bestFit="1" customWidth="1"/>
    <col min="9473" max="9473" width="12.42578125" style="102" customWidth="1"/>
    <col min="9474" max="9727" width="8.85546875" style="102"/>
    <col min="9728" max="9728" width="56.7109375" style="102" bestFit="1" customWidth="1"/>
    <col min="9729" max="9729" width="12.42578125" style="102" customWidth="1"/>
    <col min="9730" max="9983" width="8.85546875" style="102"/>
    <col min="9984" max="9984" width="56.7109375" style="102" bestFit="1" customWidth="1"/>
    <col min="9985" max="9985" width="12.42578125" style="102" customWidth="1"/>
    <col min="9986" max="10239" width="8.85546875" style="102"/>
    <col min="10240" max="10240" width="56.7109375" style="102" bestFit="1" customWidth="1"/>
    <col min="10241" max="10241" width="12.42578125" style="102" customWidth="1"/>
    <col min="10242" max="10495" width="8.85546875" style="102"/>
    <col min="10496" max="10496" width="56.7109375" style="102" bestFit="1" customWidth="1"/>
    <col min="10497" max="10497" width="12.42578125" style="102" customWidth="1"/>
    <col min="10498" max="10751" width="8.85546875" style="102"/>
    <col min="10752" max="10752" width="56.7109375" style="102" bestFit="1" customWidth="1"/>
    <col min="10753" max="10753" width="12.42578125" style="102" customWidth="1"/>
    <col min="10754" max="11007" width="8.85546875" style="102"/>
    <col min="11008" max="11008" width="56.7109375" style="102" bestFit="1" customWidth="1"/>
    <col min="11009" max="11009" width="12.42578125" style="102" customWidth="1"/>
    <col min="11010" max="11263" width="8.85546875" style="102"/>
    <col min="11264" max="11264" width="56.7109375" style="102" bestFit="1" customWidth="1"/>
    <col min="11265" max="11265" width="12.42578125" style="102" customWidth="1"/>
    <col min="11266" max="11519" width="8.85546875" style="102"/>
    <col min="11520" max="11520" width="56.7109375" style="102" bestFit="1" customWidth="1"/>
    <col min="11521" max="11521" width="12.42578125" style="102" customWidth="1"/>
    <col min="11522" max="11775" width="8.85546875" style="102"/>
    <col min="11776" max="11776" width="56.7109375" style="102" bestFit="1" customWidth="1"/>
    <col min="11777" max="11777" width="12.42578125" style="102" customWidth="1"/>
    <col min="11778" max="12031" width="8.85546875" style="102"/>
    <col min="12032" max="12032" width="56.7109375" style="102" bestFit="1" customWidth="1"/>
    <col min="12033" max="12033" width="12.42578125" style="102" customWidth="1"/>
    <col min="12034" max="12287" width="8.85546875" style="102"/>
    <col min="12288" max="12288" width="56.7109375" style="102" bestFit="1" customWidth="1"/>
    <col min="12289" max="12289" width="12.42578125" style="102" customWidth="1"/>
    <col min="12290" max="12543" width="8.85546875" style="102"/>
    <col min="12544" max="12544" width="56.7109375" style="102" bestFit="1" customWidth="1"/>
    <col min="12545" max="12545" width="12.42578125" style="102" customWidth="1"/>
    <col min="12546" max="12799" width="8.85546875" style="102"/>
    <col min="12800" max="12800" width="56.7109375" style="102" bestFit="1" customWidth="1"/>
    <col min="12801" max="12801" width="12.42578125" style="102" customWidth="1"/>
    <col min="12802" max="13055" width="8.85546875" style="102"/>
    <col min="13056" max="13056" width="56.7109375" style="102" bestFit="1" customWidth="1"/>
    <col min="13057" max="13057" width="12.42578125" style="102" customWidth="1"/>
    <col min="13058" max="13311" width="8.85546875" style="102"/>
    <col min="13312" max="13312" width="56.7109375" style="102" bestFit="1" customWidth="1"/>
    <col min="13313" max="13313" width="12.42578125" style="102" customWidth="1"/>
    <col min="13314" max="13567" width="8.85546875" style="102"/>
    <col min="13568" max="13568" width="56.7109375" style="102" bestFit="1" customWidth="1"/>
    <col min="13569" max="13569" width="12.42578125" style="102" customWidth="1"/>
    <col min="13570" max="13823" width="8.85546875" style="102"/>
    <col min="13824" max="13824" width="56.7109375" style="102" bestFit="1" customWidth="1"/>
    <col min="13825" max="13825" width="12.42578125" style="102" customWidth="1"/>
    <col min="13826" max="14079" width="8.85546875" style="102"/>
    <col min="14080" max="14080" width="56.7109375" style="102" bestFit="1" customWidth="1"/>
    <col min="14081" max="14081" width="12.42578125" style="102" customWidth="1"/>
    <col min="14082" max="14335" width="8.85546875" style="102"/>
    <col min="14336" max="14336" width="56.7109375" style="102" bestFit="1" customWidth="1"/>
    <col min="14337" max="14337" width="12.42578125" style="102" customWidth="1"/>
    <col min="14338" max="14591" width="8.85546875" style="102"/>
    <col min="14592" max="14592" width="56.7109375" style="102" bestFit="1" customWidth="1"/>
    <col min="14593" max="14593" width="12.42578125" style="102" customWidth="1"/>
    <col min="14594" max="14847" width="8.85546875" style="102"/>
    <col min="14848" max="14848" width="56.7109375" style="102" bestFit="1" customWidth="1"/>
    <col min="14849" max="14849" width="12.42578125" style="102" customWidth="1"/>
    <col min="14850" max="15103" width="8.85546875" style="102"/>
    <col min="15104" max="15104" width="56.7109375" style="102" bestFit="1" customWidth="1"/>
    <col min="15105" max="15105" width="12.42578125" style="102" customWidth="1"/>
    <col min="15106" max="15359" width="8.85546875" style="102"/>
    <col min="15360" max="15360" width="56.7109375" style="102" bestFit="1" customWidth="1"/>
    <col min="15361" max="15361" width="12.42578125" style="102" customWidth="1"/>
    <col min="15362" max="15615" width="8.85546875" style="102"/>
    <col min="15616" max="15616" width="56.7109375" style="102" bestFit="1" customWidth="1"/>
    <col min="15617" max="15617" width="12.42578125" style="102" customWidth="1"/>
    <col min="15618" max="15871" width="8.85546875" style="102"/>
    <col min="15872" max="15872" width="56.7109375" style="102" bestFit="1" customWidth="1"/>
    <col min="15873" max="15873" width="12.42578125" style="102" customWidth="1"/>
    <col min="15874" max="16127" width="8.85546875" style="102"/>
    <col min="16128" max="16128" width="56.7109375" style="102" bestFit="1" customWidth="1"/>
    <col min="16129" max="16129" width="12.42578125" style="102" customWidth="1"/>
    <col min="16130" max="16384" width="8.85546875" style="102"/>
  </cols>
  <sheetData>
    <row r="1" spans="1:3" ht="151.15" customHeight="1" x14ac:dyDescent="0.25">
      <c r="A1" s="102" t="s">
        <v>84</v>
      </c>
    </row>
    <row r="2" spans="1:3" ht="16.5" thickBot="1" x14ac:dyDescent="0.3">
      <c r="A2" s="153" t="s">
        <v>82</v>
      </c>
      <c r="B2" s="154"/>
    </row>
    <row r="3" spans="1:3" x14ac:dyDescent="0.25">
      <c r="A3" s="117" t="s">
        <v>69</v>
      </c>
      <c r="B3" s="103"/>
    </row>
    <row r="4" spans="1:3" x14ac:dyDescent="0.25">
      <c r="A4" s="104" t="s">
        <v>70</v>
      </c>
      <c r="B4" s="105">
        <f>Stipendio!C4</f>
        <v>50005.77</v>
      </c>
    </row>
    <row r="5" spans="1:3" x14ac:dyDescent="0.25">
      <c r="A5" s="106" t="s">
        <v>71</v>
      </c>
      <c r="B5" s="107">
        <f>Stipendio!C5</f>
        <v>500.05769999999995</v>
      </c>
    </row>
    <row r="6" spans="1:3" x14ac:dyDescent="0.25">
      <c r="A6" s="104" t="s">
        <v>74</v>
      </c>
      <c r="B6" s="118">
        <v>0</v>
      </c>
    </row>
    <row r="7" spans="1:3" x14ac:dyDescent="0.25">
      <c r="A7" s="104" t="s">
        <v>72</v>
      </c>
      <c r="B7" s="105">
        <f>Stipendio!C13</f>
        <v>45000</v>
      </c>
    </row>
    <row r="8" spans="1:3" x14ac:dyDescent="0.25">
      <c r="A8" s="104" t="s">
        <v>73</v>
      </c>
      <c r="B8" s="108">
        <v>0</v>
      </c>
    </row>
    <row r="9" spans="1:3" x14ac:dyDescent="0.25">
      <c r="A9" s="104" t="s">
        <v>75</v>
      </c>
      <c r="B9" s="105">
        <f>SUM(B4:B8)</f>
        <v>95505.827699999994</v>
      </c>
    </row>
    <row r="10" spans="1:3" ht="16.5" thickBot="1" x14ac:dyDescent="0.3">
      <c r="A10" s="109"/>
      <c r="B10" s="115"/>
    </row>
    <row r="11" spans="1:3" x14ac:dyDescent="0.25">
      <c r="A11" s="110" t="s">
        <v>58</v>
      </c>
      <c r="B11" s="116">
        <f>B9*0.15/12</f>
        <v>1193.8228462499999</v>
      </c>
    </row>
    <row r="12" spans="1:3" ht="16.5" thickBot="1" x14ac:dyDescent="0.3">
      <c r="A12" s="111" t="s">
        <v>54</v>
      </c>
      <c r="B12" s="112">
        <f>B9*0.25/12</f>
        <v>1989.7047437499998</v>
      </c>
      <c r="C12" s="113"/>
    </row>
    <row r="14" spans="1:3" x14ac:dyDescent="0.25">
      <c r="A14" s="114" t="s">
        <v>67</v>
      </c>
    </row>
    <row r="15" spans="1:3" ht="150" customHeight="1" x14ac:dyDescent="0.25">
      <c r="A15" s="151" t="s">
        <v>92</v>
      </c>
      <c r="B15" s="151"/>
    </row>
    <row r="16" spans="1:3" ht="68.25" customHeight="1" x14ac:dyDescent="0.25">
      <c r="A16" s="152" t="s">
        <v>68</v>
      </c>
      <c r="B16" s="152"/>
    </row>
  </sheetData>
  <sheetProtection algorithmName="SHA-512" hashValue="pGsWE03E8WQQ+XTeUlxH2eEEotmsCphW9/+UFwV+YOVBB7mJZdUnUJEyBqYhUct+2WeaeEI81op1+83i807Wiw==" saltValue="Kms1eegs9Kg4mxHuaF4gPQ==" spinCount="100000" sheet="1" objects="1" scenarios="1"/>
  <mergeCells count="3">
    <mergeCell ref="A15:B15"/>
    <mergeCell ref="A16:B16"/>
    <mergeCell ref="A2:B2"/>
  </mergeCells>
  <pageMargins left="0.7" right="0.7" top="0.75" bottom="0.75"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workbookViewId="0">
      <selection activeCell="M17" sqref="M17"/>
    </sheetView>
  </sheetViews>
  <sheetFormatPr defaultRowHeight="15" x14ac:dyDescent="0.25"/>
  <cols>
    <col min="1" max="1" width="37.28515625" bestFit="1" customWidth="1"/>
    <col min="2" max="2" width="16.7109375" bestFit="1" customWidth="1"/>
    <col min="3" max="3" width="17" customWidth="1"/>
  </cols>
  <sheetData>
    <row r="1" spans="1:7" x14ac:dyDescent="0.25">
      <c r="A1" t="s">
        <v>39</v>
      </c>
    </row>
    <row r="2" spans="1:7" x14ac:dyDescent="0.25">
      <c r="A2" s="4" t="s">
        <v>20</v>
      </c>
      <c r="C2" s="4"/>
      <c r="D2" s="2" t="e">
        <f>IF(#REF!="A",[1]legenda!C5,IF(#REF!="B",[1]legenda!C6,IF(#REF!="C",[1]legenda!C7,0)))</f>
        <v>#REF!</v>
      </c>
      <c r="E2" s="2" t="e">
        <f>IF(#REF!="A",[1]legenda!B5,IF(#REF!="B",[1]legenda!B6,IF(#REF!="C",[1]legenda!B7,0)))</f>
        <v>#REF!</v>
      </c>
      <c r="F2" s="3"/>
      <c r="G2" s="3"/>
    </row>
    <row r="3" spans="1:7" x14ac:dyDescent="0.25">
      <c r="D3" s="2" t="e">
        <f>D2*0.7%</f>
        <v>#REF!</v>
      </c>
      <c r="E3" s="2" t="e">
        <f t="shared" ref="E3:F3" si="0">E2*0.7%</f>
        <v>#REF!</v>
      </c>
      <c r="F3" s="2">
        <f t="shared" si="0"/>
        <v>0</v>
      </c>
      <c r="G3" s="3"/>
    </row>
    <row r="4" spans="1:7" x14ac:dyDescent="0.25">
      <c r="A4" s="5" t="s">
        <v>19</v>
      </c>
      <c r="B4" s="6" t="s">
        <v>22</v>
      </c>
      <c r="C4" s="7" t="s">
        <v>37</v>
      </c>
      <c r="D4" s="2"/>
      <c r="E4" s="2"/>
      <c r="F4" s="2"/>
      <c r="G4" s="3"/>
    </row>
    <row r="5" spans="1:7" x14ac:dyDescent="0.25">
      <c r="A5" s="18" t="s">
        <v>50</v>
      </c>
      <c r="B5" s="19">
        <f>C5/13*12</f>
        <v>46159.172307692301</v>
      </c>
      <c r="C5" s="20">
        <v>50005.77</v>
      </c>
      <c r="D5" s="2">
        <f>IF(C5="A",[1]legenda!C8,IF(C5="B",[1]legenda!C9,IF(C5="C",[1]legenda!C10,0)))</f>
        <v>0</v>
      </c>
      <c r="E5" s="3"/>
      <c r="F5" s="3"/>
      <c r="G5" s="3"/>
    </row>
    <row r="6" spans="1:7" x14ac:dyDescent="0.25">
      <c r="A6" s="21" t="s">
        <v>51</v>
      </c>
      <c r="B6" s="22">
        <f t="shared" ref="B6:B7" si="1">C6/13*12</f>
        <v>46159.172307692301</v>
      </c>
      <c r="C6" s="23">
        <v>50005.77</v>
      </c>
      <c r="D6" s="3"/>
      <c r="E6" s="3"/>
      <c r="F6" s="3"/>
      <c r="G6" s="3"/>
    </row>
    <row r="7" spans="1:7" x14ac:dyDescent="0.25">
      <c r="A7" s="24" t="s">
        <v>52</v>
      </c>
      <c r="B7" s="25">
        <f t="shared" si="1"/>
        <v>36927.313846153847</v>
      </c>
      <c r="C7" s="26">
        <v>40004.589999999997</v>
      </c>
    </row>
    <row r="9" spans="1:7" x14ac:dyDescent="0.25">
      <c r="A9" t="s">
        <v>40</v>
      </c>
      <c r="C9" s="4"/>
      <c r="E9" s="4"/>
      <c r="F9" s="4"/>
    </row>
    <row r="10" spans="1:7" x14ac:dyDescent="0.25">
      <c r="A10" s="4" t="s">
        <v>21</v>
      </c>
      <c r="B10" s="4"/>
    </row>
    <row r="11" spans="1:7" x14ac:dyDescent="0.25">
      <c r="A11" s="5" t="s">
        <v>36</v>
      </c>
      <c r="B11" s="6" t="s">
        <v>23</v>
      </c>
      <c r="C11" s="7" t="s">
        <v>37</v>
      </c>
      <c r="D11" s="8" t="s">
        <v>41</v>
      </c>
      <c r="E11" s="5"/>
      <c r="F11" s="6" t="s">
        <v>42</v>
      </c>
      <c r="G11" s="7"/>
    </row>
    <row r="12" spans="1:7" x14ac:dyDescent="0.25">
      <c r="A12" s="27" t="s">
        <v>43</v>
      </c>
      <c r="B12" s="28">
        <f>C12/13*12</f>
        <v>43114.153846153844</v>
      </c>
      <c r="C12" s="23">
        <v>46707</v>
      </c>
      <c r="E12" s="9" t="s">
        <v>26</v>
      </c>
      <c r="F12" s="12" t="s">
        <v>43</v>
      </c>
      <c r="G12" s="15"/>
    </row>
    <row r="13" spans="1:7" x14ac:dyDescent="0.25">
      <c r="A13" s="29" t="s">
        <v>44</v>
      </c>
      <c r="B13" s="28">
        <f t="shared" ref="B13:B17" si="2">C13/13*12</f>
        <v>35624.307692307688</v>
      </c>
      <c r="C13" s="23">
        <v>38593</v>
      </c>
      <c r="E13" s="10" t="s">
        <v>24</v>
      </c>
      <c r="F13" s="13" t="s">
        <v>44</v>
      </c>
      <c r="G13" s="16"/>
    </row>
    <row r="14" spans="1:7" x14ac:dyDescent="0.25">
      <c r="A14" s="29" t="s">
        <v>45</v>
      </c>
      <c r="B14" s="28">
        <f t="shared" si="2"/>
        <v>23544.923076923078</v>
      </c>
      <c r="C14" s="23">
        <v>25507</v>
      </c>
      <c r="E14" s="10" t="s">
        <v>25</v>
      </c>
      <c r="F14" s="13" t="s">
        <v>45</v>
      </c>
      <c r="G14" s="16"/>
    </row>
    <row r="15" spans="1:7" x14ac:dyDescent="0.25">
      <c r="A15" s="29" t="s">
        <v>46</v>
      </c>
      <c r="B15" s="28">
        <f t="shared" si="2"/>
        <v>16833.23076923077</v>
      </c>
      <c r="C15" s="23">
        <v>18236</v>
      </c>
      <c r="E15" s="10" t="s">
        <v>27</v>
      </c>
      <c r="F15" s="13" t="s">
        <v>46</v>
      </c>
      <c r="G15" s="16"/>
    </row>
    <row r="16" spans="1:7" x14ac:dyDescent="0.25">
      <c r="A16" s="29" t="s">
        <v>47</v>
      </c>
      <c r="B16" s="28">
        <f t="shared" si="2"/>
        <v>8652.923076923078</v>
      </c>
      <c r="C16" s="23">
        <v>9374</v>
      </c>
      <c r="E16" s="10" t="s">
        <v>28</v>
      </c>
      <c r="F16" s="13" t="s">
        <v>47</v>
      </c>
      <c r="G16" s="16"/>
    </row>
    <row r="17" spans="1:7" x14ac:dyDescent="0.25">
      <c r="A17" s="30" t="s">
        <v>48</v>
      </c>
      <c r="B17" s="31">
        <f t="shared" si="2"/>
        <v>8149.8461538461543</v>
      </c>
      <c r="C17" s="26">
        <v>8829</v>
      </c>
      <c r="E17" s="11" t="s">
        <v>14</v>
      </c>
      <c r="F17" s="14" t="s">
        <v>48</v>
      </c>
      <c r="G17" s="17"/>
    </row>
    <row r="18" spans="1:7" x14ac:dyDescent="0.25">
      <c r="B18" s="1"/>
      <c r="C18" s="1"/>
    </row>
    <row r="19" spans="1:7" x14ac:dyDescent="0.25">
      <c r="A19" s="155" t="s">
        <v>55</v>
      </c>
      <c r="B19" s="155"/>
      <c r="C19" s="155"/>
    </row>
    <row r="20" spans="1:7" x14ac:dyDescent="0.25">
      <c r="A20" s="4" t="s">
        <v>49</v>
      </c>
      <c r="B20" s="4"/>
      <c r="C20" s="4"/>
    </row>
    <row r="21" spans="1:7" x14ac:dyDescent="0.25">
      <c r="A21" s="5" t="s">
        <v>36</v>
      </c>
      <c r="B21" s="6" t="s">
        <v>56</v>
      </c>
      <c r="C21" s="7" t="s">
        <v>57</v>
      </c>
      <c r="D21" s="8" t="s">
        <v>41</v>
      </c>
      <c r="E21" s="5"/>
      <c r="F21" s="6" t="s">
        <v>42</v>
      </c>
      <c r="G21" s="7"/>
    </row>
    <row r="22" spans="1:7" x14ac:dyDescent="0.25">
      <c r="A22" s="27" t="s">
        <v>43</v>
      </c>
      <c r="B22" s="23">
        <v>46707</v>
      </c>
      <c r="C22" s="23">
        <v>68139.960000000006</v>
      </c>
      <c r="E22" s="9" t="s">
        <v>26</v>
      </c>
      <c r="F22" s="12" t="s">
        <v>43</v>
      </c>
      <c r="G22" s="15"/>
    </row>
    <row r="23" spans="1:7" x14ac:dyDescent="0.25">
      <c r="A23" s="29" t="s">
        <v>44</v>
      </c>
      <c r="B23" s="23">
        <v>38593</v>
      </c>
      <c r="C23" s="23">
        <v>56668.99</v>
      </c>
      <c r="E23" s="10" t="s">
        <v>24</v>
      </c>
      <c r="F23" s="13" t="s">
        <v>44</v>
      </c>
      <c r="G23" s="16"/>
    </row>
    <row r="24" spans="1:7" x14ac:dyDescent="0.25">
      <c r="A24" s="29" t="s">
        <v>45</v>
      </c>
      <c r="B24" s="23">
        <v>25507</v>
      </c>
      <c r="C24" s="23">
        <v>37901.97</v>
      </c>
      <c r="E24" s="10" t="s">
        <v>25</v>
      </c>
      <c r="F24" s="13" t="s">
        <v>45</v>
      </c>
      <c r="G24" s="16"/>
    </row>
    <row r="25" spans="1:7" x14ac:dyDescent="0.25">
      <c r="A25" s="29" t="s">
        <v>46</v>
      </c>
      <c r="B25" s="23">
        <v>18236</v>
      </c>
      <c r="C25" s="23">
        <v>27532.22</v>
      </c>
      <c r="E25" s="10" t="s">
        <v>27</v>
      </c>
      <c r="F25" s="13" t="s">
        <v>46</v>
      </c>
      <c r="G25" s="16"/>
    </row>
    <row r="26" spans="1:7" x14ac:dyDescent="0.25">
      <c r="A26" s="29" t="s">
        <v>47</v>
      </c>
      <c r="B26" s="23">
        <v>9374</v>
      </c>
      <c r="C26" s="23">
        <v>14796.8</v>
      </c>
      <c r="E26" s="10" t="s">
        <v>28</v>
      </c>
      <c r="F26" s="13" t="s">
        <v>47</v>
      </c>
      <c r="G26" s="16"/>
    </row>
    <row r="27" spans="1:7" x14ac:dyDescent="0.25">
      <c r="A27" s="30" t="s">
        <v>48</v>
      </c>
      <c r="B27" s="26">
        <v>8829</v>
      </c>
      <c r="C27" s="26">
        <v>11617.87</v>
      </c>
      <c r="E27" s="11" t="s">
        <v>14</v>
      </c>
      <c r="F27" s="14" t="s">
        <v>48</v>
      </c>
      <c r="G27" s="17"/>
    </row>
    <row r="28" spans="1:7" x14ac:dyDescent="0.25">
      <c r="B28" s="1"/>
      <c r="C28" s="1"/>
    </row>
    <row r="29" spans="1:7" x14ac:dyDescent="0.25">
      <c r="A29" s="4" t="s">
        <v>33</v>
      </c>
      <c r="B29" s="4"/>
      <c r="C29" s="4"/>
    </row>
    <row r="30" spans="1:7" x14ac:dyDescent="0.25">
      <c r="A30" t="s">
        <v>31</v>
      </c>
    </row>
    <row r="31" spans="1:7" x14ac:dyDescent="0.25">
      <c r="A31" t="s">
        <v>32</v>
      </c>
    </row>
    <row r="32" spans="1:7" x14ac:dyDescent="0.25">
      <c r="B32" s="1"/>
      <c r="C32" s="1"/>
    </row>
  </sheetData>
  <sheetProtection algorithmName="SHA-512" hashValue="SLVrzs3XvgpZnyh1eXOiRUea2Jv1L0Jtn4181TG96bhBe0baHR7sqxlaVLTx+21oCHrr+7SPyV/SQ/iHQtmBHw==" saltValue="xmzW53P0Puk2LmsKlexsiQ==" spinCount="100000" sheet="1" objects="1" scenarios="1"/>
  <mergeCells count="1">
    <mergeCell ref="A19:C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Arretrati contrattuali</vt:lpstr>
      <vt:lpstr>Stipendio</vt:lpstr>
      <vt:lpstr>Indennità reggenza_supplenza</vt:lpstr>
      <vt:lpstr>legenda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Segreteria Generale - Lecco</cp:lastModifiedBy>
  <cp:lastPrinted>2021-01-18T10:22:07Z</cp:lastPrinted>
  <dcterms:created xsi:type="dcterms:W3CDTF">2020-12-17T16:00:05Z</dcterms:created>
  <dcterms:modified xsi:type="dcterms:W3CDTF">2026-02-25T08:11:06Z</dcterms:modified>
</cp:coreProperties>
</file>